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s-partner-integrations.egnyte.com/msoffice/wopi/files/108729ff-4e6f-4dae-8914-4cfcb9288aa5/WOPIServiceId_TP_EGNYTE_PLUS/WOPIUserId_-/"/>
    </mc:Choice>
  </mc:AlternateContent>
  <xr:revisionPtr revIDLastSave="731" documentId="13_ncr:1_{E111916C-DC76-4BD2-A088-52F5810DE681}" xr6:coauthVersionLast="47" xr6:coauthVersionMax="47" xr10:uidLastSave="{9E073CF9-70B8-43E7-A52C-1C78AA4E931E}"/>
  <workbookProtection workbookAlgorithmName="SHA-512" workbookHashValue="adz88YnRwIBS33ClZod6Bs/NIOu+YY/VRdNYCfJCsIIwdzdZLEjBxGM/tjqq/27Ul8VEDkGu/61BszjXqgPraA==" workbookSaltValue="gcz03C7ZZrebA+323OG//Q==" workbookSpinCount="100000" lockStructure="1"/>
  <bookViews>
    <workbookView xWindow="-120" yWindow="-120" windowWidth="29040" windowHeight="15720" firstSheet="1" activeTab="1" xr2:uid="{00000000-000D-0000-FFFF-FFFF00000000}"/>
  </bookViews>
  <sheets>
    <sheet name="Introduction" sheetId="8" state="hidden" r:id="rId1"/>
    <sheet name="User Input" sheetId="9" r:id="rId2"/>
    <sheet name="Cost Breakdown" sheetId="10" r:id="rId3"/>
    <sheet name="Cost Estimate" sheetId="5" state="hidden" r:id="rId4"/>
    <sheet name="Planning" sheetId="1" state="hidden" r:id="rId5"/>
    <sheet name="Site Planning" sheetId="3" state="hidden" r:id="rId6"/>
    <sheet name="Storages Background Info" sheetId="4" state="hidden" r:id="rId7"/>
    <sheet name="Flow Control Background Info" sheetId="7" state="hidden" r:id="rId8"/>
    <sheet name="Constants" sheetId="6" state="hidden" r:id="rId9"/>
    <sheet name="Assumptions" sheetId="12" r:id="rId10"/>
    <sheet name="Version Information" sheetId="11" r:id="rId11"/>
  </sheets>
  <definedNames>
    <definedName name="solver_adj" localSheetId="5" hidden="1">'Site Planning'!$N$7:$N$11</definedName>
    <definedName name="solver_cvg" localSheetId="5" hidden="1">0.0001</definedName>
    <definedName name="solver_drv" localSheetId="5" hidden="1">1</definedName>
    <definedName name="solver_eng" localSheetId="5" hidden="1">1</definedName>
    <definedName name="solver_est" localSheetId="5" hidden="1">1</definedName>
    <definedName name="solver_itr" localSheetId="5" hidden="1">2147483647</definedName>
    <definedName name="solver_lhs1" localSheetId="5" hidden="1">'Site Planning'!$N$12</definedName>
    <definedName name="solver_lhs2" localSheetId="5" hidden="1">'Site Planning'!$N$7</definedName>
    <definedName name="solver_lhs3" localSheetId="5" hidden="1">'Site Planning'!$N$8</definedName>
    <definedName name="solver_lhs4" localSheetId="5" hidden="1">'Site Planning'!$N$9</definedName>
    <definedName name="solver_lhs5" localSheetId="5" hidden="1">'Site Planning'!$N$9</definedName>
    <definedName name="solver_lhs6" localSheetId="5" hidden="1">'Site Planning'!$D$15</definedName>
    <definedName name="solver_mip" localSheetId="5" hidden="1">2147483647</definedName>
    <definedName name="solver_mni" localSheetId="5" hidden="1">30</definedName>
    <definedName name="solver_mrt" localSheetId="5" hidden="1">0.075</definedName>
    <definedName name="solver_msl" localSheetId="5" hidden="1">2</definedName>
    <definedName name="solver_neg" localSheetId="5" hidden="1">1</definedName>
    <definedName name="solver_nod" localSheetId="5" hidden="1">2147483647</definedName>
    <definedName name="solver_num" localSheetId="5" hidden="1">5</definedName>
    <definedName name="solver_nwt" localSheetId="5" hidden="1">1</definedName>
    <definedName name="solver_opt" localSheetId="5" hidden="1">'Site Planning'!$P$6</definedName>
    <definedName name="solver_pre" localSheetId="5" hidden="1">0.000001</definedName>
    <definedName name="solver_rbv" localSheetId="5" hidden="1">1</definedName>
    <definedName name="solver_rel1" localSheetId="5" hidden="1">2</definedName>
    <definedName name="solver_rel2" localSheetId="5" hidden="1">3</definedName>
    <definedName name="solver_rel3" localSheetId="5" hidden="1">3</definedName>
    <definedName name="solver_rel4" localSheetId="5" hidden="1">3</definedName>
    <definedName name="solver_rel5" localSheetId="5" hidden="1">3</definedName>
    <definedName name="solver_rel6" localSheetId="5" hidden="1">2</definedName>
    <definedName name="solver_rhs1" localSheetId="5" hidden="1">2000</definedName>
    <definedName name="solver_rhs2" localSheetId="5" hidden="1">'Site Planning'!$N$8</definedName>
    <definedName name="solver_rhs3" localSheetId="5" hidden="1">'Site Planning'!$N$9</definedName>
    <definedName name="solver_rhs4" localSheetId="5" hidden="1">'Site Planning'!$N$10</definedName>
    <definedName name="solver_rhs5" localSheetId="5" hidden="1">'Site Planning'!$N$11</definedName>
    <definedName name="solver_rhs6" localSheetId="5" hidden="1">0.8</definedName>
    <definedName name="solver_rlx" localSheetId="5" hidden="1">2</definedName>
    <definedName name="solver_rsd" localSheetId="5" hidden="1">0</definedName>
    <definedName name="solver_scl" localSheetId="5" hidden="1">1</definedName>
    <definedName name="solver_sho" localSheetId="5" hidden="1">2</definedName>
    <definedName name="solver_ssz" localSheetId="5" hidden="1">100</definedName>
    <definedName name="solver_tim" localSheetId="5" hidden="1">2147483647</definedName>
    <definedName name="solver_tol" localSheetId="5" hidden="1">0.01</definedName>
    <definedName name="solver_typ" localSheetId="5" hidden="1">3</definedName>
    <definedName name="solver_val" localSheetId="5" hidden="1">0.8</definedName>
    <definedName name="solver_ver" localSheetId="5"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4" l="1"/>
  <c r="F32" i="9"/>
  <c r="L20" i="9"/>
  <c r="L19" i="9"/>
  <c r="P3" i="4"/>
  <c r="P4" i="4"/>
  <c r="P5" i="4"/>
  <c r="P6" i="4"/>
  <c r="P7" i="4"/>
  <c r="P8" i="4"/>
  <c r="P9" i="4"/>
  <c r="P10" i="4"/>
  <c r="P11" i="4"/>
  <c r="P12" i="4"/>
  <c r="P13" i="4"/>
  <c r="P14" i="4"/>
  <c r="P15" i="4"/>
  <c r="P16" i="4"/>
  <c r="P17" i="4"/>
  <c r="P18" i="4"/>
  <c r="P19" i="4"/>
  <c r="P20" i="4"/>
  <c r="P21" i="4"/>
  <c r="P22" i="4"/>
  <c r="P23" i="4"/>
  <c r="P24" i="4"/>
  <c r="P25" i="4"/>
  <c r="P26" i="4"/>
  <c r="P27" i="4"/>
  <c r="P28" i="4"/>
  <c r="P29" i="4"/>
  <c r="L18" i="10"/>
  <c r="L19" i="10"/>
  <c r="K18" i="10"/>
  <c r="K19" i="10"/>
  <c r="O3" i="4"/>
  <c r="C17" i="6"/>
  <c r="L3" i="4"/>
  <c r="B17" i="6"/>
  <c r="C7" i="10" l="1"/>
  <c r="E24" i="10" s="1" a="1"/>
  <c r="C6" i="10"/>
  <c r="E5" i="10" s="1" a="1"/>
  <c r="C5" i="10"/>
  <c r="E2" i="5" a="1"/>
  <c r="H27" i="10" l="1"/>
  <c r="H26" i="10"/>
  <c r="H25" i="10"/>
  <c r="H24" i="10"/>
  <c r="N5" i="10"/>
  <c r="H12" i="10"/>
  <c r="H13" i="10"/>
  <c r="P6" i="10"/>
  <c r="H14" i="10"/>
  <c r="P7" i="10"/>
  <c r="H15" i="10"/>
  <c r="P8" i="10"/>
  <c r="H16" i="10"/>
  <c r="P9" i="10"/>
  <c r="H17" i="10"/>
  <c r="P10" i="10"/>
  <c r="P11" i="10"/>
  <c r="P13" i="10"/>
  <c r="P14" i="10"/>
  <c r="P15" i="10"/>
  <c r="P17" i="10"/>
  <c r="Q6" i="10"/>
  <c r="Q7" i="10"/>
  <c r="Q9" i="10"/>
  <c r="Q10" i="10"/>
  <c r="Q12" i="10"/>
  <c r="Q13" i="10"/>
  <c r="Q15" i="10"/>
  <c r="Q16" i="10"/>
  <c r="Q5" i="10"/>
  <c r="P12" i="10"/>
  <c r="P16" i="10"/>
  <c r="P5" i="10"/>
  <c r="Q8" i="10"/>
  <c r="Q11" i="10"/>
  <c r="Q14" i="10"/>
  <c r="Q17" i="10"/>
  <c r="I25" i="10"/>
  <c r="I26" i="10"/>
  <c r="I27" i="10"/>
  <c r="H10" i="10"/>
  <c r="H11" i="10"/>
  <c r="H5" i="10"/>
  <c r="H6" i="10"/>
  <c r="H7" i="10"/>
  <c r="H8" i="10"/>
  <c r="H9" i="10"/>
  <c r="N7" i="10"/>
  <c r="N8" i="10"/>
  <c r="N9" i="10"/>
  <c r="N10" i="10"/>
  <c r="N11" i="10"/>
  <c r="N6" i="10"/>
  <c r="N12" i="10"/>
  <c r="N13" i="10"/>
  <c r="N14" i="10"/>
  <c r="N15" i="10"/>
  <c r="N16" i="10"/>
  <c r="N17" i="10"/>
  <c r="E24" i="10"/>
  <c r="I24" i="10"/>
  <c r="S11" i="10"/>
  <c r="S14" i="10"/>
  <c r="S17" i="10"/>
  <c r="S12" i="10"/>
  <c r="S15" i="10"/>
  <c r="S16" i="10"/>
  <c r="S13" i="10"/>
  <c r="I5" i="10"/>
  <c r="S7" i="10"/>
  <c r="S8" i="10"/>
  <c r="S9" i="10"/>
  <c r="S10" i="10"/>
  <c r="S5" i="10"/>
  <c r="S6" i="10"/>
  <c r="L5" i="10"/>
  <c r="L13" i="10"/>
  <c r="L14" i="10"/>
  <c r="L15" i="10"/>
  <c r="L16" i="10"/>
  <c r="K13" i="10"/>
  <c r="K15" i="10"/>
  <c r="K17" i="10"/>
  <c r="L11" i="10"/>
  <c r="L17" i="10"/>
  <c r="K11" i="10"/>
  <c r="K12" i="10"/>
  <c r="K14" i="10"/>
  <c r="K16" i="10"/>
  <c r="L12" i="10"/>
  <c r="L8" i="10"/>
  <c r="K5" i="10"/>
  <c r="L6" i="10"/>
  <c r="L7" i="10"/>
  <c r="L9" i="10"/>
  <c r="L10" i="10"/>
  <c r="K6" i="10"/>
  <c r="K7" i="10"/>
  <c r="K8" i="10"/>
  <c r="K9" i="10"/>
  <c r="K10" i="10"/>
  <c r="E5" i="10"/>
  <c r="N2" i="5"/>
  <c r="M2" i="5"/>
  <c r="K2" i="5"/>
  <c r="I12" i="10"/>
  <c r="J12" i="10" s="1"/>
  <c r="I16" i="10"/>
  <c r="M16" i="10" s="1"/>
  <c r="I13" i="10"/>
  <c r="J13" i="10" s="1"/>
  <c r="I17" i="10"/>
  <c r="J17" i="10" s="1"/>
  <c r="I14" i="10"/>
  <c r="M14" i="10" s="1"/>
  <c r="I15" i="10"/>
  <c r="M15" i="10" s="1"/>
  <c r="I11" i="10"/>
  <c r="J11" i="10" s="1"/>
  <c r="I10" i="10"/>
  <c r="I9" i="10"/>
  <c r="M9" i="10" s="1"/>
  <c r="I6" i="10"/>
  <c r="I8" i="10"/>
  <c r="M8" i="10" s="1"/>
  <c r="E2" i="5"/>
  <c r="H2" i="5"/>
  <c r="O4" i="4"/>
  <c r="O5" i="4"/>
  <c r="O6" i="4"/>
  <c r="O7" i="4"/>
  <c r="O8" i="4"/>
  <c r="O9" i="4"/>
  <c r="O10" i="4"/>
  <c r="O11" i="4"/>
  <c r="O12" i="4"/>
  <c r="O13" i="4"/>
  <c r="O14" i="4"/>
  <c r="O15" i="4"/>
  <c r="O16" i="4"/>
  <c r="O17" i="4"/>
  <c r="O18" i="4"/>
  <c r="O19" i="4"/>
  <c r="O20" i="4"/>
  <c r="O21" i="4"/>
  <c r="O22" i="4"/>
  <c r="O23" i="4"/>
  <c r="O24" i="4"/>
  <c r="O25" i="4"/>
  <c r="O26" i="4"/>
  <c r="O27" i="4"/>
  <c r="O28" i="4"/>
  <c r="O29" i="4"/>
  <c r="Q28" i="4"/>
  <c r="Q29" i="4"/>
  <c r="Q27" i="4"/>
  <c r="Q26" i="4"/>
  <c r="Q13" i="4"/>
  <c r="Q14" i="4"/>
  <c r="Q15" i="4"/>
  <c r="Q12" i="4"/>
  <c r="M4" i="4"/>
  <c r="M5" i="4"/>
  <c r="M6" i="4"/>
  <c r="M7" i="4"/>
  <c r="N7" i="4" s="1"/>
  <c r="M8" i="4"/>
  <c r="N8" i="4" s="1"/>
  <c r="M9" i="4"/>
  <c r="N9" i="4" s="1"/>
  <c r="M10" i="4"/>
  <c r="N10" i="4" s="1"/>
  <c r="M11" i="4"/>
  <c r="N11" i="4" s="1"/>
  <c r="M12" i="4"/>
  <c r="M13" i="4"/>
  <c r="M14" i="4"/>
  <c r="M15" i="4"/>
  <c r="M17" i="4"/>
  <c r="N17" i="4" s="1"/>
  <c r="M18" i="4"/>
  <c r="N18" i="4" s="1"/>
  <c r="M19" i="4"/>
  <c r="N19" i="4" s="1"/>
  <c r="M20" i="4"/>
  <c r="N20" i="4" s="1"/>
  <c r="M21" i="4"/>
  <c r="N21" i="4" s="1"/>
  <c r="M22" i="4"/>
  <c r="N22" i="4" s="1"/>
  <c r="M23" i="4"/>
  <c r="N23" i="4" s="1"/>
  <c r="M24" i="4"/>
  <c r="M25" i="4"/>
  <c r="N25" i="4" s="1"/>
  <c r="M26" i="4"/>
  <c r="N26" i="4" s="1"/>
  <c r="M27" i="4"/>
  <c r="N27" i="4" s="1"/>
  <c r="M28" i="4"/>
  <c r="N28" i="4" s="1"/>
  <c r="M29" i="4"/>
  <c r="N29" i="4" s="1"/>
  <c r="M3" i="4"/>
  <c r="L4" i="4"/>
  <c r="L5" i="4"/>
  <c r="L6" i="4"/>
  <c r="L7" i="4"/>
  <c r="L8" i="4"/>
  <c r="L9" i="4"/>
  <c r="L10" i="4"/>
  <c r="L11" i="4"/>
  <c r="L12" i="4"/>
  <c r="L13" i="4"/>
  <c r="L14" i="4"/>
  <c r="L15" i="4"/>
  <c r="L16" i="4"/>
  <c r="N16" i="4" s="1"/>
  <c r="L17" i="4"/>
  <c r="L18" i="4"/>
  <c r="L19" i="4"/>
  <c r="L20" i="4"/>
  <c r="L21" i="4"/>
  <c r="L22" i="4"/>
  <c r="L23" i="4"/>
  <c r="L24" i="4"/>
  <c r="L25" i="4"/>
  <c r="L26" i="4"/>
  <c r="K26" i="4"/>
  <c r="I7" i="10" s="1"/>
  <c r="M7" i="10" s="1"/>
  <c r="J21" i="3"/>
  <c r="H17" i="3"/>
  <c r="I17" i="3"/>
  <c r="J17" i="3"/>
  <c r="H18" i="3"/>
  <c r="I18" i="3"/>
  <c r="J18" i="3"/>
  <c r="H19" i="3"/>
  <c r="I19" i="3"/>
  <c r="J19" i="3"/>
  <c r="H20" i="3"/>
  <c r="I20" i="3"/>
  <c r="J20" i="3"/>
  <c r="H21" i="3"/>
  <c r="I21" i="3"/>
  <c r="H22" i="3"/>
  <c r="I22" i="3"/>
  <c r="J22" i="3"/>
  <c r="G18" i="3"/>
  <c r="G19" i="3"/>
  <c r="G20" i="3"/>
  <c r="G21" i="3"/>
  <c r="G22" i="3"/>
  <c r="G17" i="3"/>
  <c r="J16" i="3"/>
  <c r="I16" i="3"/>
  <c r="H16" i="3"/>
  <c r="G16" i="3"/>
  <c r="N12" i="3"/>
  <c r="P6" i="3" s="1"/>
  <c r="J12" i="3"/>
  <c r="L6" i="3" s="1"/>
  <c r="F12" i="3"/>
  <c r="H6" i="3" s="1"/>
  <c r="B12" i="3"/>
  <c r="D6" i="3" s="1"/>
  <c r="K25" i="9" l="1"/>
  <c r="I28" i="10"/>
  <c r="E32" i="9" s="1"/>
  <c r="J5" i="10"/>
  <c r="N19" i="10"/>
  <c r="N18" i="10"/>
  <c r="N15" i="4"/>
  <c r="L18" i="9"/>
  <c r="J10" i="10"/>
  <c r="M6" i="10"/>
  <c r="O6" i="10" s="1"/>
  <c r="N3" i="4"/>
  <c r="M12" i="10"/>
  <c r="O12" i="10" s="1"/>
  <c r="M10" i="10"/>
  <c r="O10" i="10" s="1"/>
  <c r="M17" i="10"/>
  <c r="O17" i="10" s="1"/>
  <c r="M13" i="10"/>
  <c r="O13" i="10" s="1"/>
  <c r="M11" i="10"/>
  <c r="O11" i="10" s="1"/>
  <c r="Q20" i="10"/>
  <c r="Q19" i="10"/>
  <c r="P20" i="10"/>
  <c r="P19" i="10"/>
  <c r="N20" i="10"/>
  <c r="I2" i="5"/>
  <c r="J2" i="5"/>
  <c r="L2" i="5" s="1"/>
  <c r="O2" i="5" s="1"/>
  <c r="J9" i="10"/>
  <c r="Q18" i="10"/>
  <c r="P18" i="10"/>
  <c r="O15" i="10"/>
  <c r="O14" i="10"/>
  <c r="O16" i="10"/>
  <c r="O7" i="10"/>
  <c r="O8" i="10"/>
  <c r="O9" i="10"/>
  <c r="K3" i="5"/>
  <c r="K4" i="5"/>
  <c r="K9" i="5"/>
  <c r="K10" i="5"/>
  <c r="K11" i="5"/>
  <c r="K12" i="5"/>
  <c r="K13" i="5"/>
  <c r="K14" i="5"/>
  <c r="K5" i="5"/>
  <c r="K6" i="5"/>
  <c r="K7" i="5"/>
  <c r="K8" i="5"/>
  <c r="N8" i="5"/>
  <c r="N11" i="5"/>
  <c r="N14" i="5"/>
  <c r="M9" i="5"/>
  <c r="M12" i="5"/>
  <c r="N9" i="5"/>
  <c r="N10" i="5"/>
  <c r="M8" i="5"/>
  <c r="M10" i="5"/>
  <c r="N12" i="5"/>
  <c r="M11" i="5"/>
  <c r="M13" i="5"/>
  <c r="N13" i="5"/>
  <c r="M14" i="5"/>
  <c r="M3" i="5"/>
  <c r="M4" i="5"/>
  <c r="M5" i="5"/>
  <c r="M6" i="5"/>
  <c r="M7" i="5"/>
  <c r="N3" i="5"/>
  <c r="N4" i="5"/>
  <c r="N5" i="5"/>
  <c r="N6" i="5"/>
  <c r="N7" i="5"/>
  <c r="N24" i="4"/>
  <c r="M5" i="10" s="1"/>
  <c r="O5" i="10" s="1"/>
  <c r="N6" i="4"/>
  <c r="J8" i="10" s="1"/>
  <c r="N13" i="4"/>
  <c r="J15" i="10" s="1"/>
  <c r="N5" i="4"/>
  <c r="J7" i="10" s="1"/>
  <c r="N14" i="4"/>
  <c r="J16" i="10" s="1"/>
  <c r="N4" i="4"/>
  <c r="J6" i="10" s="1"/>
  <c r="N12" i="4"/>
  <c r="J14" i="10" s="1"/>
  <c r="H3" i="5"/>
  <c r="H6" i="5"/>
  <c r="I6" i="5" s="1"/>
  <c r="H7" i="5"/>
  <c r="I7" i="5" s="1"/>
  <c r="H8" i="5"/>
  <c r="I8" i="5" s="1"/>
  <c r="H4" i="5"/>
  <c r="I4" i="5" s="1"/>
  <c r="H5" i="5"/>
  <c r="I5" i="5" s="1"/>
  <c r="H11" i="5"/>
  <c r="H12" i="5"/>
  <c r="H13" i="5"/>
  <c r="H14" i="5"/>
  <c r="I14" i="5" s="1"/>
  <c r="H10" i="5"/>
  <c r="I10" i="5" s="1"/>
  <c r="H9" i="5"/>
  <c r="I9" i="5" s="1"/>
  <c r="N2" i="1"/>
  <c r="L22" i="9" l="1"/>
  <c r="I3" i="5"/>
  <c r="R17" i="10"/>
  <c r="R15" i="10"/>
  <c r="I12" i="5"/>
  <c r="I11" i="5"/>
  <c r="O20" i="10"/>
  <c r="O19" i="10"/>
  <c r="J10" i="5"/>
  <c r="L10" i="5" s="1"/>
  <c r="O10" i="5" s="1"/>
  <c r="P10" i="5" s="1"/>
  <c r="I13" i="5"/>
  <c r="O18" i="10"/>
  <c r="R12" i="10"/>
  <c r="R11" i="10"/>
  <c r="R7" i="10"/>
  <c r="R6" i="10"/>
  <c r="R14" i="10"/>
  <c r="R8" i="10"/>
  <c r="R9" i="10"/>
  <c r="R10" i="10"/>
  <c r="R16" i="10"/>
  <c r="J5" i="5"/>
  <c r="L5" i="5" s="1"/>
  <c r="O5" i="5" s="1"/>
  <c r="P5" i="5" s="1"/>
  <c r="J12" i="5"/>
  <c r="L12" i="5" s="1"/>
  <c r="O12" i="5" s="1"/>
  <c r="P12" i="5" s="1"/>
  <c r="J7" i="5"/>
  <c r="L7" i="5" s="1"/>
  <c r="O7" i="5" s="1"/>
  <c r="P7" i="5" s="1"/>
  <c r="J11" i="5"/>
  <c r="L11" i="5" s="1"/>
  <c r="O11" i="5" s="1"/>
  <c r="P11" i="5" s="1"/>
  <c r="J3" i="5"/>
  <c r="L3" i="5" s="1"/>
  <c r="O3" i="5" s="1"/>
  <c r="P3" i="5" s="1"/>
  <c r="J8" i="5"/>
  <c r="L8" i="5" s="1"/>
  <c r="O8" i="5" s="1"/>
  <c r="P8" i="5" s="1"/>
  <c r="P2" i="5"/>
  <c r="J14" i="5"/>
  <c r="L14" i="5" s="1"/>
  <c r="O14" i="5" s="1"/>
  <c r="P14" i="5" s="1"/>
  <c r="J9" i="5"/>
  <c r="L9" i="5" s="1"/>
  <c r="O9" i="5" s="1"/>
  <c r="P9" i="5" s="1"/>
  <c r="J13" i="5"/>
  <c r="L13" i="5" s="1"/>
  <c r="O13" i="5" s="1"/>
  <c r="P13" i="5" s="1"/>
  <c r="J4" i="5"/>
  <c r="L4" i="5" s="1"/>
  <c r="J6" i="5"/>
  <c r="L6" i="5" s="1"/>
  <c r="O6" i="5" s="1"/>
  <c r="R19" i="10" l="1"/>
  <c r="R13" i="10"/>
  <c r="R20" i="10"/>
  <c r="R5" i="10"/>
  <c r="P6" i="5"/>
  <c r="O4" i="5"/>
  <c r="P4" i="5" s="1"/>
  <c r="R18" i="10" l="1"/>
  <c r="E31" i="9" s="1"/>
  <c r="L21" i="9" s="1"/>
  <c r="K23" i="9" l="1"/>
  <c r="E33" i="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<sst xmlns="http://schemas.openxmlformats.org/spreadsheetml/2006/main" count="424" uniqueCount="255">
  <si>
    <t>Supply</t>
  </si>
  <si>
    <t>Installation</t>
  </si>
  <si>
    <t>Material</t>
  </si>
  <si>
    <t>Shipping</t>
  </si>
  <si>
    <t>Labour</t>
  </si>
  <si>
    <t>Equipment</t>
  </si>
  <si>
    <t>Backfill</t>
  </si>
  <si>
    <t>Liners</t>
  </si>
  <si>
    <t>Additional Materials</t>
  </si>
  <si>
    <t>Excavation (Only Additional Depth)</t>
  </si>
  <si>
    <t>Variability</t>
  </si>
  <si>
    <t>Additional Considerations</t>
  </si>
  <si>
    <t>Cost Variablity:</t>
  </si>
  <si>
    <t>Price per module</t>
  </si>
  <si>
    <t>It may be cheaper to purchase multiple modules.</t>
  </si>
  <si>
    <t>Product Size</t>
  </si>
  <si>
    <t>Larger prodcuts are more likely to cost more.</t>
  </si>
  <si>
    <t>Distance</t>
  </si>
  <si>
    <t>Greater distance is likely to cost more. (Gas, drivers cost)</t>
  </si>
  <si>
    <t>Weight of Product</t>
  </si>
  <si>
    <t>Heavier products are going to cost more to ship.</t>
  </si>
  <si>
    <t>Product Configuration</t>
  </si>
  <si>
    <t>If products are stackable, more products can fit on one truckload.</t>
  </si>
  <si>
    <t>Excavation</t>
  </si>
  <si>
    <t>Depth</t>
  </si>
  <si>
    <t>Soil</t>
  </si>
  <si>
    <t>Costs more to dig deeper</t>
  </si>
  <si>
    <t xml:space="preserve">Are there large rocks that will be an issue? </t>
  </si>
  <si>
    <t>What equipment is required for the excavation.</t>
  </si>
  <si>
    <t>Number of People Required</t>
  </si>
  <si>
    <t>How many people are needed for installation?</t>
  </si>
  <si>
    <t>Skilled Labour</t>
  </si>
  <si>
    <t>Does the labourer need to be specially trained?</t>
  </si>
  <si>
    <t>Installation Time</t>
  </si>
  <si>
    <t>How long does it take to install?</t>
  </si>
  <si>
    <t>Equipment (special)</t>
  </si>
  <si>
    <t>Is any special equipment required for installation?</t>
  </si>
  <si>
    <t>What type of backfill is required?</t>
  </si>
  <si>
    <t>The deeper the ecavation, the more backfill is required.</t>
  </si>
  <si>
    <t>Required?</t>
  </si>
  <si>
    <t>Is a liner required for the product?</t>
  </si>
  <si>
    <t>Type</t>
  </si>
  <si>
    <t>What type of liner is required?</t>
  </si>
  <si>
    <t>Coverage Required</t>
  </si>
  <si>
    <t>Is just the bottom of the structure required? Sides? Top?</t>
  </si>
  <si>
    <t>Questions</t>
  </si>
  <si>
    <t>Special Equipment</t>
  </si>
  <si>
    <t>Release Rate</t>
  </si>
  <si>
    <t>C</t>
  </si>
  <si>
    <t>Roof</t>
  </si>
  <si>
    <t>Pavement</t>
  </si>
  <si>
    <t>Gravel</t>
  </si>
  <si>
    <t>Landscaping</t>
  </si>
  <si>
    <t>Abs Landscaping</t>
  </si>
  <si>
    <t>Area</t>
  </si>
  <si>
    <t>Storage Volume</t>
  </si>
  <si>
    <t>Traplow</t>
  </si>
  <si>
    <t>Concrete</t>
  </si>
  <si>
    <t>Modular</t>
  </si>
  <si>
    <t>Transport</t>
  </si>
  <si>
    <t>Capital</t>
  </si>
  <si>
    <t>Install</t>
  </si>
  <si>
    <t>Roof*</t>
  </si>
  <si>
    <t>HDPE**</t>
  </si>
  <si>
    <t>** based on estimate for 1500 gal tank (5.6 m3)</t>
  </si>
  <si>
    <t>Arched***</t>
  </si>
  <si>
    <t>***40% stone porosity and 6" of stone above and below chambers</t>
  </si>
  <si>
    <t>*assumed 10 cm max depth and $2 per sq. ft. 10m2 needed per m3 of storage, no transport cost estimated in TM03 but there must be some materials for roof storage to be transported</t>
  </si>
  <si>
    <t>Groundwork</t>
  </si>
  <si>
    <t>Labour (hours)</t>
  </si>
  <si>
    <t>Restrictions</t>
  </si>
  <si>
    <t>HDPE</t>
  </si>
  <si>
    <t>Arched</t>
  </si>
  <si>
    <t>Max of 0.3 flooding, Lnds+AbsLnds &gt; Storage volume</t>
  </si>
  <si>
    <t>Roof &gt; Storage volume, extra cost for structural analysis</t>
  </si>
  <si>
    <t>650mm cover</t>
  </si>
  <si>
    <t>750mm cover</t>
  </si>
  <si>
    <t>500mm cover</t>
  </si>
  <si>
    <t>600mm cover</t>
  </si>
  <si>
    <t>Length (ft)</t>
  </si>
  <si>
    <t>Length (m)</t>
  </si>
  <si>
    <t>Width (ft)</t>
  </si>
  <si>
    <t>Width (m)</t>
  </si>
  <si>
    <t>Height (ft)</t>
  </si>
  <si>
    <t>Height (m)</t>
  </si>
  <si>
    <t>Storm Capture</t>
  </si>
  <si>
    <t>Storm Trap</t>
  </si>
  <si>
    <t>Urban Pond</t>
  </si>
  <si>
    <t>Diameter (ft)</t>
  </si>
  <si>
    <t>Carat S Belowground</t>
  </si>
  <si>
    <t>Xerexes</t>
  </si>
  <si>
    <t>Cultec</t>
  </si>
  <si>
    <t>StormTech</t>
  </si>
  <si>
    <t>Input</t>
  </si>
  <si>
    <t>Select</t>
  </si>
  <si>
    <t>Product Type</t>
  </si>
  <si>
    <t>Product Desc</t>
  </si>
  <si>
    <t>8x16x3 (ft)</t>
  </si>
  <si>
    <t>7x15x2 (ft)</t>
  </si>
  <si>
    <t>7x15x4 (ft)</t>
  </si>
  <si>
    <t>7x15x6 (ft)</t>
  </si>
  <si>
    <t>7x15x8 (ft)</t>
  </si>
  <si>
    <t>1200x900 (mm)</t>
  </si>
  <si>
    <t>1800x1200 (mm)</t>
  </si>
  <si>
    <t>2400x1200 (mm)</t>
  </si>
  <si>
    <t>2400x1800 (mm)</t>
  </si>
  <si>
    <t>2440x2400 (mm)</t>
  </si>
  <si>
    <t>8x16x4 (ft)</t>
  </si>
  <si>
    <t>8x16x5 (ft)</t>
  </si>
  <si>
    <t>8x16x6 (ft)</t>
  </si>
  <si>
    <t>MC-3500</t>
  </si>
  <si>
    <t>SC-800</t>
  </si>
  <si>
    <t>MC-4500</t>
  </si>
  <si>
    <t>Recharger 150XLHD</t>
  </si>
  <si>
    <t>M-6 Chamber</t>
  </si>
  <si>
    <t>C-10 Chamber</t>
  </si>
  <si>
    <t>S-29B Chamber</t>
  </si>
  <si>
    <t>BARR EcoBloc</t>
  </si>
  <si>
    <t>EcoBloc</t>
  </si>
  <si>
    <t>Xerxes</t>
  </si>
  <si>
    <t>AquaMod</t>
  </si>
  <si>
    <t>Module Volume (m3)</t>
  </si>
  <si>
    <t>ACO</t>
  </si>
  <si>
    <t>StormBrixx</t>
  </si>
  <si>
    <t>StormTank</t>
  </si>
  <si>
    <t>ST-18</t>
  </si>
  <si>
    <t>ST-24</t>
  </si>
  <si>
    <t>ST-30</t>
  </si>
  <si>
    <t>Footprint (ft2)</t>
  </si>
  <si>
    <t>Footprint (m2)</t>
  </si>
  <si>
    <t>Final Footprint (m2)</t>
  </si>
  <si>
    <t>Type of Storage</t>
  </si>
  <si>
    <t>Brand</t>
  </si>
  <si>
    <t>Product Name</t>
  </si>
  <si>
    <t>Number of Modules</t>
  </si>
  <si>
    <t>Storage Volume Required (m3)</t>
  </si>
  <si>
    <t>Footprint Required (m2)</t>
  </si>
  <si>
    <t>Extra Excavation Depth (m)</t>
  </si>
  <si>
    <t>Excavation Required (m3)</t>
  </si>
  <si>
    <t>Final Height (m)</t>
  </si>
  <si>
    <t>Module Cost</t>
  </si>
  <si>
    <t>Excavation Cost</t>
  </si>
  <si>
    <t>/m3</t>
  </si>
  <si>
    <t>Transportation Cost</t>
  </si>
  <si>
    <t>Transport Cost</t>
  </si>
  <si>
    <t>/truckload</t>
  </si>
  <si>
    <t>Transport (num of truckloads)</t>
  </si>
  <si>
    <t>Engineering Cost</t>
  </si>
  <si>
    <t>% of total</t>
  </si>
  <si>
    <t>Labour Cost</t>
  </si>
  <si>
    <t>/man hour</t>
  </si>
  <si>
    <t>Total Cost</t>
  </si>
  <si>
    <t>Product Type hide</t>
  </si>
  <si>
    <t>Cost (/m3)</t>
  </si>
  <si>
    <t>from catalogue</t>
  </si>
  <si>
    <t>Type of Flow Control</t>
  </si>
  <si>
    <t>Vortex</t>
  </si>
  <si>
    <t>Orifice</t>
  </si>
  <si>
    <t>Pump</t>
  </si>
  <si>
    <t>Roof Weir</t>
  </si>
  <si>
    <t>Q-Plate</t>
  </si>
  <si>
    <t>BARR</t>
  </si>
  <si>
    <t>FLYGT</t>
  </si>
  <si>
    <t>Hydrobrake</t>
  </si>
  <si>
    <t>Q-Brake</t>
  </si>
  <si>
    <t>Hydro</t>
  </si>
  <si>
    <t>Detention Storage Cost Estimate</t>
  </si>
  <si>
    <t>Version 1.0</t>
  </si>
  <si>
    <t xml:space="preserve">This Detention Storage Cost Estimate tool has been developed for the City of Calgary to support discussions around incentives or fees related to installation of stormwater retention systems in new developments. This tool will provide general costs for a variety of localized suppliers and types of storages, but does not give site specific information. Costs may vary widely depending on development requirements. This tool was created to assist the city with general information about potential costs but does not replace a professional stamp or represent final project costs. </t>
  </si>
  <si>
    <t xml:space="preserve">Indicates boxes that require user input. </t>
  </si>
  <si>
    <t>Spreadsheet Description</t>
  </si>
  <si>
    <t>Tab Title</t>
  </si>
  <si>
    <t>Descpription</t>
  </si>
  <si>
    <t>Reference Manual Chapter</t>
  </si>
  <si>
    <t>Cost Estimate</t>
  </si>
  <si>
    <t xml:space="preserve">Users may input a value for stormwater storage volume required. Users are given the choice to select storage type and flow control infrastructure. </t>
  </si>
  <si>
    <t>Price</t>
  </si>
  <si>
    <t>Total Storage Volume:</t>
  </si>
  <si>
    <t>Storage Type:</t>
  </si>
  <si>
    <t>Flow Control Type:</t>
  </si>
  <si>
    <r>
      <t>m</t>
    </r>
    <r>
      <rPr>
        <vertAlign val="superscript"/>
        <sz val="11"/>
        <color theme="1"/>
        <rFont val="Calibri"/>
        <family val="2"/>
        <scheme val="minor"/>
      </rPr>
      <t>3</t>
    </r>
  </si>
  <si>
    <t>Product Description</t>
  </si>
  <si>
    <t>User Inputs</t>
  </si>
  <si>
    <t>Storage Type</t>
  </si>
  <si>
    <t>Flow Control</t>
  </si>
  <si>
    <t>Product Requirement Information</t>
  </si>
  <si>
    <t>Average Costs</t>
  </si>
  <si>
    <t xml:space="preserve"> Detention Storage Cost Estimation</t>
  </si>
  <si>
    <t>Detention Storage</t>
  </si>
  <si>
    <t>Flow Control Infrastructure</t>
  </si>
  <si>
    <t>SBA Submersible Booster Pump</t>
  </si>
  <si>
    <t>N-Technology Pump</t>
  </si>
  <si>
    <r>
      <t>Required Footprint (m</t>
    </r>
    <r>
      <rPr>
        <b/>
        <vertAlign val="superscript"/>
        <sz val="11"/>
        <color theme="1"/>
        <rFont val="Calibri"/>
        <family val="2"/>
        <scheme val="minor"/>
      </rPr>
      <t>2</t>
    </r>
    <r>
      <rPr>
        <b/>
        <sz val="11"/>
        <color theme="1"/>
        <rFont val="Calibri"/>
        <family val="2"/>
        <scheme val="minor"/>
      </rPr>
      <t>)</t>
    </r>
  </si>
  <si>
    <r>
      <t>Excavation Required (m</t>
    </r>
    <r>
      <rPr>
        <b/>
        <vertAlign val="superscript"/>
        <sz val="11"/>
        <color theme="1"/>
        <rFont val="Calibri"/>
        <family val="2"/>
        <scheme val="minor"/>
      </rPr>
      <t>3</t>
    </r>
    <r>
      <rPr>
        <b/>
        <sz val="11"/>
        <color theme="1"/>
        <rFont val="Calibri"/>
        <family val="2"/>
        <scheme val="minor"/>
      </rPr>
      <t>)</t>
    </r>
  </si>
  <si>
    <t>Flow Control Cost:</t>
  </si>
  <si>
    <t>Storage Cost:</t>
  </si>
  <si>
    <t>(Optional) Cost Escalation Factor:</t>
  </si>
  <si>
    <t>Cost Basis Date</t>
  </si>
  <si>
    <t>Ownership/Version Table</t>
  </si>
  <si>
    <r>
      <t xml:space="preserve">If updates are made to pricing, assumptions, or any product notes, the ownership table will be updated to represent the most recent changes. Notes will be added related to what costs were updated, ensuring that the date correlates with the estimate. When this table is updated, the cost basis date in the </t>
    </r>
    <r>
      <rPr>
        <i/>
        <sz val="11"/>
        <color theme="1"/>
        <rFont val="Calibri"/>
        <family val="2"/>
        <scheme val="minor"/>
      </rPr>
      <t>Information</t>
    </r>
    <r>
      <rPr>
        <sz val="11"/>
        <color theme="1"/>
        <rFont val="Calibri"/>
        <family val="2"/>
        <scheme val="minor"/>
      </rPr>
      <t xml:space="preserve"> tab would also be updated. </t>
    </r>
  </si>
  <si>
    <t>Name, Organization</t>
  </si>
  <si>
    <t>Date</t>
  </si>
  <si>
    <t>Update Notes</t>
  </si>
  <si>
    <t>Kayla Reinholz, MPE</t>
  </si>
  <si>
    <t>Assumptions</t>
  </si>
  <si>
    <t>Storage System</t>
  </si>
  <si>
    <t>Category</t>
  </si>
  <si>
    <t>Assumption</t>
  </si>
  <si>
    <t>All</t>
  </si>
  <si>
    <t>Transportation</t>
  </si>
  <si>
    <t xml:space="preserve">Assumed $500 per truckload. Priced as short distance hauling, all suppliers have local distribution, so the price does not reflect long distance shipping costs. </t>
  </si>
  <si>
    <t xml:space="preserve">Updated with comments from the City of Calgary including notes, inflation adjusters, assumptions, and cost categories. </t>
  </si>
  <si>
    <t>Assumed 10% contingency on top of overall cost and acquisition. This value will vary depending on firm and contractor, as well as complexity of the site, delays, and suppliers.</t>
  </si>
  <si>
    <t>This table lists the assumptions made behind the values in the Background Info tabs and the Constants sheet. Dates should correlate with the cost basis date in the Background Information tab.</t>
  </si>
  <si>
    <t xml:space="preserve">Assumed minimum cover when calculating excavation depth, according to installation manuals. </t>
  </si>
  <si>
    <t>Close Proximity to Buildings</t>
  </si>
  <si>
    <t>Utility Conflicts and Relocations</t>
  </si>
  <si>
    <t>Mobilization/General Conditions</t>
  </si>
  <si>
    <t>Shoring</t>
  </si>
  <si>
    <t>Optional Inclusions:</t>
  </si>
  <si>
    <t>Total Optional Cost:</t>
  </si>
  <si>
    <t>Optional Costs</t>
  </si>
  <si>
    <t xml:space="preserve">Assuming high end of $150/day for shoring rentals, assuming equipment for installation already on site and personnel are trained. </t>
  </si>
  <si>
    <t xml:space="preserve">For disposal fees, assume 1 m3 of soil weighs approximately 1.5 tonnes. Assume $10/tonne, or $15/m3. Rates calculated based on City of Calgary soil disposal fees. </t>
  </si>
  <si>
    <t xml:space="preserve">Assumed all excavation from sites is waste excavation from site with appropriate equipment. $25/m3 is a rough estimation and will vary based on city site and contractor. This includes a general estimate for dumping fees. </t>
  </si>
  <si>
    <t>High End Costs</t>
  </si>
  <si>
    <t>Low End Costs</t>
  </si>
  <si>
    <t xml:space="preserve">(Optional) Engineering Contingency: </t>
  </si>
  <si>
    <t>Non-Permeable Liner</t>
  </si>
  <si>
    <t xml:space="preserve">For optional costs of proximity to buildings/neighbouring property lines, utility conflicts and relocations, and mobilizations or general conditions, placeholder amounts of $1000 have been included. These costs are highly variable but are listed to encourage consideration of these costs prior to further design. For the non-permeable liner, a high-midrange cost of $5/m2 has been assumed, and multiplied by the average footprint from all of the alternative options. </t>
  </si>
  <si>
    <t>Cost Basis Date:</t>
  </si>
  <si>
    <t>HIDE</t>
  </si>
  <si>
    <t>Total Estimated Cost (with optional costs)</t>
  </si>
  <si>
    <t>(Optional) Additional Cover (m):</t>
  </si>
  <si>
    <t>Perimeter (m)</t>
  </si>
  <si>
    <t>average estimate per meter, depth &lt;2.4 m</t>
  </si>
  <si>
    <t>average estimate /m, depth &gt;2.4 m</t>
  </si>
  <si>
    <t>Required Depth (m)</t>
  </si>
  <si>
    <t>Estimated Perimeter (m)</t>
  </si>
  <si>
    <t>Average estimate /m2</t>
  </si>
  <si>
    <t>WATTS</t>
  </si>
  <si>
    <t>Roof Drain with Flow Control</t>
  </si>
  <si>
    <t>from AMY WOODS</t>
  </si>
  <si>
    <t>from LOVEDEEP RAMANA</t>
  </si>
  <si>
    <t>from SAEED RAHMAN</t>
  </si>
  <si>
    <t>from KEVIN COWDEN</t>
  </si>
  <si>
    <t>INDEX</t>
  </si>
  <si>
    <t>Product Index</t>
  </si>
  <si>
    <t>based on TM03</t>
  </si>
  <si>
    <t>Index</t>
  </si>
  <si>
    <t>User Input
Version 1.0 - September 2, 2026</t>
  </si>
  <si>
    <t>Number of Flow Control Devices:</t>
  </si>
  <si>
    <t>NOTE: Catchbasins and pipes are not included in the cost estimate as site designs vary widely. Optional Inclusions are excluded for Traplow and Roof Storage as they are not applicable.</t>
  </si>
  <si>
    <t xml:space="preserve">The intention of the Detention Storage Scalable Cost Estimate is used to generate a general cost estimate for the user based on required storage volume, storage type, and flow control infrastructure when in the planning stage of stormwater management planning. The tool uses several assumptions and general cost estimates in order to return information about the developments. The Detention Storage Tool can be used to estimate storage volumes to be inputted into this tool. 
PLEASE NOTE: This tool is meant to be used as a guideline and is only an estimate of cost to be used in screening-level or planning exercises and is not a tender-ready or construction cost. Actual costs are heavily dependant on various factors such as but not limited to site conditions, groundwater, market pricing, and access constraints. Costs are highly variable and final costs must be quoted directly from suppliers and contractors. The outputs of this tool are only meant to be utilized for a planning level estimate. 
The optional cost escalation factor is a multiplier for the automated costs and can be inputted by the user if there is a known rate of change or inflation from the pricing represented. A value of 1 is required for the cost escalation factor for regular estimated costing. The optional additional cover is a user inputted value to be used if an additional excavation cost is required due to the system being deeper than the minimum required cover. Shoring is included as temporary structures used to support walls during excavation.
Cost estimates have been anonymized but are based on products available for detention storage in the Calgary region. </t>
  </si>
  <si>
    <r>
      <rPr>
        <b/>
        <sz val="11"/>
        <color theme="1"/>
        <rFont val="Calibri"/>
        <family val="2"/>
        <scheme val="minor"/>
      </rPr>
      <t>How To Use:</t>
    </r>
    <r>
      <rPr>
        <sz val="11"/>
        <color theme="1"/>
        <rFont val="Calibri"/>
        <family val="2"/>
        <scheme val="minor"/>
      </rPr>
      <t xml:space="preserve"> Input the total storage volume that the site will have installed. Select Storage Type and Flow Control Types. Change the cost escallation factor from 1 if it is known or required. Change additional cover to be added to overtop the storage if known or required. Change the Engineering Contingency if known or not required. Select optional inclusions based on site requirements. For utility conflicts and relocations, secelct how many conflicts there will be. Input the number of flow control devices on site.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</si>
</sst>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_-;\-&quot;$&quot;* #,##0_-;_-&quot;$&quot;* &quot;-&quot;??_-;_-@_-"/>
    <numFmt numFmtId="165" formatCode="0.0"/>
    <numFmt numFmtId="166" formatCode="[$-F800]dddd\,\ mmmm\ dd\,\ yyyy"/>
  </numFmts>
  <fonts count="15"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u/>
      <sz val="14"/>
      <color theme="1"/>
      <name val="Calibri"/>
      <family val="2"/>
      <scheme val="minor"/>
    </font>
    <font>
      <b/>
      <sz val="22"/>
      <color theme="1"/>
      <name val="Calibri"/>
      <family val="2"/>
      <scheme val="minor"/>
    </font>
    <font>
      <b/>
      <sz val="18"/>
      <color theme="1"/>
      <name val="Calibri"/>
      <family val="2"/>
      <scheme val="minor"/>
    </font>
    <font>
      <vertAlign val="superscript"/>
      <sz val="11"/>
      <color theme="1"/>
      <name val="Calibri"/>
      <family val="2"/>
      <scheme val="minor"/>
    </font>
    <font>
      <sz val="11"/>
      <color theme="1"/>
      <name val="Calibri"/>
      <family val="2"/>
      <scheme val="minor"/>
    </font>
    <font>
      <b/>
      <vertAlign val="superscript"/>
      <sz val="11"/>
      <color theme="1"/>
      <name val="Calibri"/>
      <family val="2"/>
      <scheme val="minor"/>
    </font>
    <font>
      <b/>
      <i/>
      <sz val="11"/>
      <color theme="1"/>
      <name val="Calibri"/>
      <family val="2"/>
      <scheme val="minor"/>
    </font>
    <font>
      <sz val="11"/>
      <color rgb="FFFF0000"/>
      <name val="Calibri"/>
      <family val="2"/>
      <scheme val="minor"/>
    </font>
    <font>
      <sz val="8"/>
      <name val="Calibri"/>
      <family val="2"/>
      <scheme val="minor"/>
    </font>
    <font>
      <i/>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bgColor indexed="64"/>
      </patternFill>
    </fill>
  </fills>
  <borders count="31">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162">
    <xf numFmtId="0" fontId="0" fillId="0" borderId="0" xfId="0"/>
    <xf numFmtId="0" fontId="1" fillId="0" borderId="0" xfId="0" applyFont="1"/>
    <xf numFmtId="0" fontId="3" fillId="0" borderId="0" xfId="0" applyFont="1"/>
    <xf numFmtId="0" fontId="4" fillId="0" borderId="0" xfId="0" applyFont="1"/>
    <xf numFmtId="0" fontId="2" fillId="0" borderId="0" xfId="0" applyFont="1"/>
    <xf numFmtId="0" fontId="0" fillId="0" borderId="2" xfId="0" applyBorder="1"/>
    <xf numFmtId="0" fontId="0" fillId="0" borderId="4" xfId="0" applyBorder="1"/>
    <xf numFmtId="0" fontId="0" fillId="0" borderId="8" xfId="0" applyBorder="1"/>
    <xf numFmtId="0" fontId="1" fillId="0" borderId="1" xfId="0" applyFont="1" applyBorder="1"/>
    <xf numFmtId="0" fontId="0" fillId="0" borderId="1" xfId="0" applyBorder="1"/>
    <xf numFmtId="0" fontId="0" fillId="0" borderId="3" xfId="0" applyBorder="1"/>
    <xf numFmtId="0" fontId="0" fillId="0" borderId="5" xfId="0" applyBorder="1"/>
    <xf numFmtId="0" fontId="1" fillId="0" borderId="6" xfId="0" applyFont="1" applyBorder="1"/>
    <xf numFmtId="0" fontId="0" fillId="0" borderId="6" xfId="0" applyBorder="1"/>
    <xf numFmtId="0" fontId="0" fillId="0" borderId="7" xfId="0" applyBorder="1"/>
    <xf numFmtId="2" fontId="0" fillId="0" borderId="0" xfId="0" applyNumberFormat="1"/>
    <xf numFmtId="0" fontId="0" fillId="0" borderId="0" xfId="0" applyAlignment="1">
      <alignment horizontal="center"/>
    </xf>
    <xf numFmtId="0" fontId="0" fillId="0" borderId="0" xfId="0" quotePrefix="1"/>
    <xf numFmtId="0" fontId="0" fillId="2" borderId="0" xfId="0" applyFill="1"/>
    <xf numFmtId="0" fontId="0" fillId="3" borderId="9" xfId="0" applyFill="1" applyBorder="1"/>
    <xf numFmtId="0" fontId="0" fillId="3" borderId="9" xfId="0" applyFill="1" applyBorder="1" applyAlignment="1">
      <alignment horizontal="center" vertical="center"/>
    </xf>
    <xf numFmtId="0" fontId="0" fillId="3" borderId="15" xfId="0" applyFill="1" applyBorder="1"/>
    <xf numFmtId="0" fontId="0" fillId="3" borderId="0" xfId="0" applyFill="1"/>
    <xf numFmtId="0" fontId="0" fillId="3" borderId="16" xfId="0" applyFill="1" applyBorder="1"/>
    <xf numFmtId="0" fontId="0" fillId="3" borderId="17" xfId="0" applyFill="1" applyBorder="1"/>
    <xf numFmtId="0" fontId="0" fillId="3" borderId="18" xfId="0" applyFill="1" applyBorder="1"/>
    <xf numFmtId="0" fontId="0" fillId="3" borderId="19" xfId="0" applyFill="1" applyBorder="1"/>
    <xf numFmtId="0" fontId="0" fillId="6" borderId="9" xfId="0" applyFill="1" applyBorder="1"/>
    <xf numFmtId="0" fontId="1" fillId="7" borderId="9" xfId="0" applyFont="1" applyFill="1" applyBorder="1" applyAlignment="1">
      <alignment horizontal="center"/>
    </xf>
    <xf numFmtId="0" fontId="1" fillId="3" borderId="0" xfId="0" applyFont="1" applyFill="1"/>
    <xf numFmtId="0" fontId="0" fillId="6" borderId="7" xfId="0" applyFill="1" applyBorder="1"/>
    <xf numFmtId="0" fontId="0" fillId="0" borderId="0" xfId="0" applyAlignment="1">
      <alignment wrapText="1"/>
    </xf>
    <xf numFmtId="2" fontId="0" fillId="3" borderId="0" xfId="0" applyNumberFormat="1" applyFill="1"/>
    <xf numFmtId="0" fontId="1" fillId="7" borderId="9" xfId="0" applyFont="1" applyFill="1" applyBorder="1" applyAlignment="1">
      <alignment horizontal="center" vertical="center"/>
    </xf>
    <xf numFmtId="44" fontId="1" fillId="8" borderId="7" xfId="1" applyFont="1" applyFill="1" applyBorder="1"/>
    <xf numFmtId="0" fontId="0" fillId="3" borderId="4" xfId="0" applyFill="1" applyBorder="1"/>
    <xf numFmtId="0" fontId="0" fillId="3" borderId="8" xfId="0" applyFill="1" applyBorder="1"/>
    <xf numFmtId="0" fontId="0" fillId="3" borderId="1" xfId="0" applyFill="1" applyBorder="1"/>
    <xf numFmtId="0" fontId="0" fillId="3" borderId="1" xfId="0" applyFill="1" applyBorder="1" applyAlignment="1">
      <alignment horizontal="center"/>
    </xf>
    <xf numFmtId="2" fontId="0" fillId="3" borderId="1" xfId="0" applyNumberFormat="1" applyFill="1" applyBorder="1" applyAlignment="1">
      <alignment horizontal="center"/>
    </xf>
    <xf numFmtId="0" fontId="0" fillId="3" borderId="25" xfId="0" applyFill="1" applyBorder="1"/>
    <xf numFmtId="0" fontId="0" fillId="3" borderId="26" xfId="0" applyFill="1" applyBorder="1"/>
    <xf numFmtId="0" fontId="0" fillId="3" borderId="27"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2" xfId="0" applyFill="1" applyBorder="1"/>
    <xf numFmtId="0" fontId="0" fillId="3" borderId="3" xfId="0" applyFill="1" applyBorder="1"/>
    <xf numFmtId="164" fontId="0" fillId="3" borderId="0" xfId="1" applyNumberFormat="1" applyFont="1" applyFill="1"/>
    <xf numFmtId="0" fontId="0" fillId="3" borderId="18" xfId="0" quotePrefix="1" applyFill="1" applyBorder="1"/>
    <xf numFmtId="0" fontId="11" fillId="0" borderId="0" xfId="0" applyFont="1"/>
    <xf numFmtId="0" fontId="10" fillId="7" borderId="28" xfId="0" applyFont="1" applyFill="1" applyBorder="1" applyAlignment="1">
      <alignment horizontal="center" vertical="center" wrapText="1"/>
    </xf>
    <xf numFmtId="0" fontId="10" fillId="7" borderId="9" xfId="0" applyFont="1" applyFill="1" applyBorder="1" applyAlignment="1">
      <alignment horizontal="center"/>
    </xf>
    <xf numFmtId="15" fontId="0" fillId="3" borderId="9" xfId="0" applyNumberFormat="1" applyFill="1" applyBorder="1" applyAlignment="1">
      <alignment horizontal="left"/>
    </xf>
    <xf numFmtId="0" fontId="0" fillId="3" borderId="9" xfId="0" applyFill="1" applyBorder="1" applyAlignment="1">
      <alignment horizontal="left"/>
    </xf>
    <xf numFmtId="0" fontId="0" fillId="3" borderId="27" xfId="0" applyFill="1" applyBorder="1"/>
    <xf numFmtId="0" fontId="0" fillId="3" borderId="0" xfId="0" applyFill="1" applyAlignment="1">
      <alignment horizontal="center"/>
    </xf>
    <xf numFmtId="15" fontId="0" fillId="3" borderId="25" xfId="0" applyNumberFormat="1" applyFill="1" applyBorder="1" applyAlignment="1">
      <alignment horizontal="left" vertical="center"/>
    </xf>
    <xf numFmtId="0" fontId="0" fillId="3" borderId="26" xfId="0" applyFill="1" applyBorder="1" applyAlignment="1">
      <alignment horizontal="left" vertical="center"/>
    </xf>
    <xf numFmtId="15" fontId="0" fillId="3" borderId="4" xfId="0" applyNumberFormat="1" applyFill="1" applyBorder="1" applyAlignment="1">
      <alignment horizontal="left" vertical="center"/>
    </xf>
    <xf numFmtId="0" fontId="0" fillId="3" borderId="0" xfId="0" applyFill="1" applyAlignment="1">
      <alignment horizontal="left" vertical="center"/>
    </xf>
    <xf numFmtId="0" fontId="0" fillId="3" borderId="2" xfId="0" applyFill="1" applyBorder="1" applyAlignment="1">
      <alignment wrapText="1"/>
    </xf>
    <xf numFmtId="0" fontId="0" fillId="3" borderId="1" xfId="0" applyFill="1" applyBorder="1" applyAlignment="1">
      <alignment horizontal="left" vertical="center"/>
    </xf>
    <xf numFmtId="0" fontId="0" fillId="3" borderId="3" xfId="0" applyFill="1" applyBorder="1" applyAlignment="1">
      <alignment wrapText="1"/>
    </xf>
    <xf numFmtId="0" fontId="0" fillId="3" borderId="26" xfId="0" applyFill="1" applyBorder="1" applyAlignment="1">
      <alignment horizontal="center"/>
    </xf>
    <xf numFmtId="2" fontId="0" fillId="3" borderId="26" xfId="0" applyNumberFormat="1" applyFill="1" applyBorder="1" applyAlignment="1">
      <alignment horizontal="center"/>
    </xf>
    <xf numFmtId="0" fontId="1" fillId="7" borderId="28" xfId="0" applyFont="1" applyFill="1" applyBorder="1" applyAlignment="1">
      <alignment horizontal="center" vertical="center"/>
    </xf>
    <xf numFmtId="0" fontId="1" fillId="7" borderId="28" xfId="0" applyFont="1" applyFill="1" applyBorder="1" applyAlignment="1">
      <alignment horizontal="center" vertical="center" wrapText="1"/>
    </xf>
    <xf numFmtId="0" fontId="10" fillId="0" borderId="0" xfId="0" applyFont="1"/>
    <xf numFmtId="164" fontId="1" fillId="3" borderId="0" xfId="1" applyNumberFormat="1" applyFont="1" applyFill="1"/>
    <xf numFmtId="0" fontId="10" fillId="8" borderId="9" xfId="0" applyFont="1" applyFill="1" applyBorder="1" applyAlignment="1">
      <alignment horizontal="center"/>
    </xf>
    <xf numFmtId="1" fontId="1" fillId="7" borderId="5" xfId="0" applyNumberFormat="1" applyFont="1" applyFill="1" applyBorder="1" applyAlignment="1">
      <alignment horizontal="center"/>
    </xf>
    <xf numFmtId="1" fontId="1" fillId="7" borderId="6" xfId="0" applyNumberFormat="1" applyFont="1" applyFill="1" applyBorder="1" applyAlignment="1">
      <alignment horizontal="center"/>
    </xf>
    <xf numFmtId="164" fontId="1" fillId="8" borderId="9" xfId="1" applyNumberFormat="1" applyFont="1" applyFill="1" applyBorder="1" applyAlignment="1">
      <alignment horizontal="center"/>
    </xf>
    <xf numFmtId="0" fontId="1" fillId="3" borderId="0" xfId="0" applyFont="1" applyFill="1" applyAlignment="1">
      <alignment vertical="center"/>
    </xf>
    <xf numFmtId="0" fontId="1" fillId="9" borderId="0" xfId="0" applyFont="1" applyFill="1"/>
    <xf numFmtId="14" fontId="0" fillId="0" borderId="0" xfId="0" applyNumberFormat="1"/>
    <xf numFmtId="14" fontId="0" fillId="3" borderId="27" xfId="0" applyNumberFormat="1" applyFill="1" applyBorder="1" applyAlignment="1">
      <alignment horizontal="center"/>
    </xf>
    <xf numFmtId="14" fontId="0" fillId="3" borderId="2" xfId="0" applyNumberFormat="1" applyFill="1" applyBorder="1" applyAlignment="1">
      <alignment horizontal="center"/>
    </xf>
    <xf numFmtId="14" fontId="0" fillId="3" borderId="3" xfId="0" applyNumberFormat="1" applyFill="1" applyBorder="1" applyAlignment="1">
      <alignment horizontal="center"/>
    </xf>
    <xf numFmtId="0" fontId="14" fillId="0" borderId="0" xfId="0" applyFont="1"/>
    <xf numFmtId="0" fontId="6" fillId="0" borderId="0" xfId="0" applyFont="1"/>
    <xf numFmtId="0" fontId="0" fillId="3" borderId="4" xfId="0" applyFill="1" applyBorder="1" applyAlignment="1">
      <alignment horizontal="center"/>
    </xf>
    <xf numFmtId="0" fontId="10" fillId="8" borderId="5" xfId="0" applyFont="1" applyFill="1" applyBorder="1"/>
    <xf numFmtId="0" fontId="1" fillId="7" borderId="5" xfId="0" applyFont="1" applyFill="1" applyBorder="1" applyAlignment="1">
      <alignment vertical="center"/>
    </xf>
    <xf numFmtId="0" fontId="3" fillId="5" borderId="5" xfId="0" applyFont="1" applyFill="1" applyBorder="1"/>
    <xf numFmtId="0" fontId="3" fillId="5" borderId="6" xfId="0" applyFont="1" applyFill="1" applyBorder="1"/>
    <xf numFmtId="0" fontId="6" fillId="4" borderId="5" xfId="0" applyFont="1" applyFill="1" applyBorder="1"/>
    <xf numFmtId="0" fontId="6" fillId="4" borderId="6" xfId="0" applyFont="1" applyFill="1" applyBorder="1"/>
    <xf numFmtId="0" fontId="0" fillId="3" borderId="25" xfId="0" applyFill="1" applyBorder="1" applyAlignment="1">
      <alignment horizontal="center"/>
    </xf>
    <xf numFmtId="2" fontId="0" fillId="3" borderId="0" xfId="0" applyNumberFormat="1" applyFill="1" applyAlignment="1">
      <alignment horizontal="center"/>
    </xf>
    <xf numFmtId="0" fontId="0" fillId="3" borderId="8" xfId="0" applyFill="1" applyBorder="1" applyAlignment="1">
      <alignment horizontal="center"/>
    </xf>
    <xf numFmtId="0" fontId="10" fillId="8" borderId="6" xfId="0" applyFont="1" applyFill="1" applyBorder="1" applyAlignment="1">
      <alignment horizontal="center"/>
    </xf>
    <xf numFmtId="0" fontId="0" fillId="3" borderId="28" xfId="0" applyFill="1" applyBorder="1"/>
    <xf numFmtId="0" fontId="0" fillId="3" borderId="29" xfId="0" applyFill="1" applyBorder="1"/>
    <xf numFmtId="0" fontId="0" fillId="3" borderId="30" xfId="0" applyFill="1" applyBorder="1"/>
    <xf numFmtId="0" fontId="1" fillId="7" borderId="9" xfId="0" applyFont="1" applyFill="1" applyBorder="1" applyAlignment="1">
      <alignment vertical="center"/>
    </xf>
    <xf numFmtId="0" fontId="10" fillId="8" borderId="9" xfId="0" applyFont="1" applyFill="1" applyBorder="1"/>
    <xf numFmtId="0" fontId="0" fillId="3" borderId="0" xfId="0" applyFill="1" applyAlignment="1">
      <alignment horizontal="left" vertical="center" wrapText="1"/>
    </xf>
    <xf numFmtId="0" fontId="0" fillId="3" borderId="16" xfId="0" applyFill="1" applyBorder="1" applyAlignment="1">
      <alignment horizontal="left" vertical="center" wrapText="1"/>
    </xf>
    <xf numFmtId="166" fontId="1" fillId="3" borderId="0" xfId="0" applyNumberFormat="1" applyFont="1" applyFill="1" applyAlignment="1">
      <alignment horizontal="center"/>
    </xf>
    <xf numFmtId="0" fontId="0" fillId="3" borderId="15" xfId="0" applyFill="1" applyBorder="1" applyAlignment="1">
      <alignment horizontal="left" vertical="center"/>
    </xf>
    <xf numFmtId="0" fontId="0" fillId="6" borderId="5" xfId="0" applyFill="1" applyBorder="1" applyAlignment="1" applyProtection="1">
      <alignment horizontal="left"/>
      <protection locked="0"/>
    </xf>
    <xf numFmtId="0" fontId="0" fillId="6" borderId="5" xfId="0" applyFill="1" applyBorder="1" applyProtection="1">
      <protection locked="0"/>
    </xf>
    <xf numFmtId="165" fontId="0" fillId="6" borderId="5" xfId="0" applyNumberFormat="1" applyFill="1" applyBorder="1" applyAlignment="1" applyProtection="1">
      <alignment horizontal="left"/>
      <protection locked="0"/>
    </xf>
    <xf numFmtId="9" fontId="0" fillId="6" borderId="5" xfId="2" applyFont="1" applyFill="1" applyBorder="1" applyAlignment="1" applyProtection="1">
      <alignment horizontal="left"/>
      <protection locked="0"/>
    </xf>
    <xf numFmtId="0" fontId="0" fillId="3" borderId="0" xfId="0" applyFill="1" applyProtection="1">
      <protection locked="0"/>
      <extLst>
        <ext xmlns:xfpb="http://schemas.microsoft.com/office/spreadsheetml/2022/featurepropertybag" uri="{C7286773-470A-42A8-94C5-96B5CB345126}">
          <xfpb:xfComplement i="0"/>
        </ext>
      </extLst>
    </xf>
    <xf numFmtId="0" fontId="0" fillId="3" borderId="0" xfId="0" applyFill="1" applyAlignment="1" applyProtection="1">
      <alignment horizontal="center"/>
      <protection locked="0"/>
    </xf>
    <xf numFmtId="164" fontId="1" fillId="3" borderId="0" xfId="1" applyNumberFormat="1" applyFont="1" applyFill="1" applyProtection="1">
      <protection locked="0"/>
      <extLst>
        <ext xmlns:xfpb="http://schemas.microsoft.com/office/spreadsheetml/2022/featurepropertybag" uri="{C7286773-470A-42A8-94C5-96B5CB345126}">
          <xfpb:xfComplement i="0"/>
        </ext>
      </extLst>
    </xf>
    <xf numFmtId="0" fontId="0" fillId="6" borderId="9" xfId="0" applyFill="1" applyBorder="1" applyAlignment="1" applyProtection="1">
      <alignment horizontal="center"/>
      <protection locked="0"/>
    </xf>
    <xf numFmtId="0" fontId="1" fillId="3" borderId="0" xfId="0" applyFont="1" applyFill="1" applyAlignment="1">
      <alignment horizontal="center"/>
    </xf>
    <xf numFmtId="0" fontId="0" fillId="3" borderId="15" xfId="0" applyFill="1" applyBorder="1" applyAlignment="1">
      <alignment horizontal="left" vertical="center"/>
    </xf>
    <xf numFmtId="0" fontId="0" fillId="3" borderId="0" xfId="0" applyFill="1" applyAlignment="1">
      <alignment horizontal="left" vertical="center"/>
    </xf>
    <xf numFmtId="0" fontId="0" fillId="3" borderId="16" xfId="0" applyFill="1" applyBorder="1" applyAlignment="1">
      <alignment horizontal="left" vertical="center"/>
    </xf>
    <xf numFmtId="0" fontId="1" fillId="5" borderId="13" xfId="0" applyFont="1" applyFill="1" applyBorder="1" applyAlignment="1">
      <alignment horizontal="center"/>
    </xf>
    <xf numFmtId="0" fontId="1" fillId="5" borderId="6" xfId="0" applyFont="1" applyFill="1" applyBorder="1" applyAlignment="1">
      <alignment horizontal="center"/>
    </xf>
    <xf numFmtId="0" fontId="1" fillId="5" borderId="14" xfId="0" applyFont="1" applyFill="1" applyBorder="1" applyAlignment="1">
      <alignment horizontal="center"/>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0" xfId="0" applyFont="1" applyFill="1" applyAlignment="1">
      <alignment horizontal="center" vertical="center"/>
    </xf>
    <xf numFmtId="0" fontId="6" fillId="4" borderId="16" xfId="0" applyFont="1" applyFill="1" applyBorder="1" applyAlignment="1">
      <alignment horizontal="center" vertical="center"/>
    </xf>
    <xf numFmtId="0" fontId="6" fillId="4" borderId="23"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4" xfId="0" applyFont="1" applyFill="1" applyBorder="1" applyAlignment="1">
      <alignment horizontal="center" vertical="center"/>
    </xf>
    <xf numFmtId="0" fontId="0" fillId="3" borderId="15" xfId="0" applyFill="1" applyBorder="1" applyAlignment="1">
      <alignment horizontal="left" vertical="center" wrapText="1"/>
    </xf>
    <xf numFmtId="0" fontId="0" fillId="3" borderId="0" xfId="0" applyFill="1" applyAlignment="1">
      <alignment horizontal="left" vertical="center" wrapText="1"/>
    </xf>
    <xf numFmtId="0" fontId="0" fillId="3" borderId="16" xfId="0" applyFill="1" applyBorder="1" applyAlignment="1">
      <alignment horizontal="left" vertical="center" wrapText="1"/>
    </xf>
    <xf numFmtId="0" fontId="1" fillId="5" borderId="5" xfId="0" applyFont="1" applyFill="1" applyBorder="1" applyAlignment="1">
      <alignment horizontal="center"/>
    </xf>
    <xf numFmtId="0" fontId="1" fillId="5" borderId="7" xfId="0" applyFont="1" applyFill="1" applyBorder="1" applyAlignment="1">
      <alignment horizontal="center"/>
    </xf>
    <xf numFmtId="0" fontId="1" fillId="7" borderId="5" xfId="0" applyFont="1" applyFill="1" applyBorder="1" applyAlignment="1">
      <alignment horizontal="center"/>
    </xf>
    <xf numFmtId="0" fontId="1" fillId="7" borderId="6" xfId="0" applyFont="1" applyFill="1" applyBorder="1" applyAlignment="1">
      <alignment horizontal="center"/>
    </xf>
    <xf numFmtId="0" fontId="1" fillId="7" borderId="7" xfId="0" applyFont="1" applyFill="1" applyBorder="1" applyAlignment="1">
      <alignment horizontal="center"/>
    </xf>
    <xf numFmtId="0" fontId="0" fillId="3" borderId="5" xfId="0" applyFill="1" applyBorder="1" applyAlignment="1">
      <alignment horizontal="left" wrapText="1"/>
    </xf>
    <xf numFmtId="0" fontId="0" fillId="3" borderId="6" xfId="0" applyFill="1" applyBorder="1" applyAlignment="1">
      <alignment horizontal="left" wrapText="1"/>
    </xf>
    <xf numFmtId="0" fontId="0" fillId="3" borderId="7" xfId="0" applyFill="1" applyBorder="1" applyAlignment="1">
      <alignment horizontal="left" wrapText="1"/>
    </xf>
    <xf numFmtId="0" fontId="5" fillId="4" borderId="10" xfId="0" applyFont="1" applyFill="1" applyBorder="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xf numFmtId="0" fontId="0" fillId="3" borderId="15" xfId="0" applyFill="1" applyBorder="1" applyAlignment="1">
      <alignment horizontal="left" wrapText="1"/>
    </xf>
    <xf numFmtId="0" fontId="0" fillId="3" borderId="0" xfId="0" applyFill="1" applyAlignment="1">
      <alignment horizontal="left" wrapText="1"/>
    </xf>
    <xf numFmtId="0" fontId="0" fillId="3" borderId="16" xfId="0" applyFill="1" applyBorder="1" applyAlignment="1">
      <alignment horizontal="left" wrapText="1"/>
    </xf>
    <xf numFmtId="0" fontId="3" fillId="5" borderId="5" xfId="0" applyFont="1" applyFill="1" applyBorder="1" applyAlignment="1">
      <alignment horizontal="center"/>
    </xf>
    <xf numFmtId="0" fontId="3" fillId="5" borderId="6" xfId="0" applyFont="1" applyFill="1" applyBorder="1" applyAlignment="1">
      <alignment horizontal="center"/>
    </xf>
    <xf numFmtId="0" fontId="3" fillId="5" borderId="7" xfId="0" applyFont="1" applyFill="1" applyBorder="1" applyAlignment="1">
      <alignment horizontal="center"/>
    </xf>
    <xf numFmtId="0" fontId="6" fillId="4" borderId="5" xfId="0" applyFont="1" applyFill="1" applyBorder="1" applyAlignment="1">
      <alignment horizontal="center"/>
    </xf>
    <xf numFmtId="0" fontId="6" fillId="4" borderId="6" xfId="0" applyFont="1" applyFill="1" applyBorder="1" applyAlignment="1">
      <alignment horizontal="center"/>
    </xf>
    <xf numFmtId="0" fontId="6" fillId="4" borderId="7" xfId="0" applyFont="1" applyFill="1" applyBorder="1" applyAlignment="1">
      <alignment horizontal="center"/>
    </xf>
    <xf numFmtId="0" fontId="0" fillId="0" borderId="0" xfId="0" applyAlignment="1">
      <alignment horizontal="center"/>
    </xf>
    <xf numFmtId="0" fontId="10" fillId="7" borderId="28" xfId="0" applyFont="1" applyFill="1" applyBorder="1" applyAlignment="1">
      <alignment horizontal="center" vertical="center" wrapText="1"/>
    </xf>
    <xf numFmtId="0" fontId="10" fillId="7" borderId="29" xfId="0" applyFont="1" applyFill="1" applyBorder="1" applyAlignment="1">
      <alignment horizontal="center" vertical="center" wrapText="1"/>
    </xf>
    <xf numFmtId="0" fontId="0" fillId="0" borderId="0" xfId="0" applyAlignment="1">
      <alignment horizontal="left" vertical="top"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0" fillId="3" borderId="4" xfId="0" applyFill="1" applyBorder="1" applyAlignment="1">
      <alignment horizontal="center"/>
    </xf>
    <xf numFmtId="0" fontId="0" fillId="3" borderId="0" xfId="0" applyFill="1" applyAlignment="1">
      <alignment horizontal="center"/>
    </xf>
    <xf numFmtId="0" fontId="0" fillId="3" borderId="2" xfId="0" applyFill="1" applyBorder="1" applyAlignment="1">
      <alignment horizontal="center"/>
    </xf>
    <xf numFmtId="0" fontId="6" fillId="4" borderId="9" xfId="0" applyFont="1" applyFill="1" applyBorder="1" applyAlignment="1">
      <alignment horizont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3">
    <cellStyle name="Currency" xfId="1" builtinId="4"/>
    <cellStyle name="Normal" xfId="0" builtinId="0"/>
    <cellStyle name="Percent" xfId="2" builtinId="5"/>
  </cellStyles>
  <dxfs count="5">
    <dxf>
      <numFmt numFmtId="167" formatCode=";;;"/>
      <fill>
        <patternFill>
          <bgColor theme="0"/>
        </patternFill>
      </fill>
    </dxf>
    <dxf>
      <fill>
        <patternFill>
          <bgColor theme="9" tint="0.59996337778862885"/>
        </patternFill>
      </fill>
    </dxf>
    <dxf>
      <fill>
        <patternFill>
          <bgColor theme="9" tint="0.59996337778862885"/>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720F3-4740-47CE-A8EC-FB44679DA410}">
  <sheetPr>
    <tabColor theme="8" tint="0.39997558519241921"/>
  </sheetPr>
  <dimension ref="B1:H15"/>
  <sheetViews>
    <sheetView workbookViewId="0">
      <selection activeCell="G26" sqref="G26"/>
    </sheetView>
  </sheetViews>
  <sheetFormatPr defaultRowHeight="15" x14ac:dyDescent="0.25"/>
  <cols>
    <col min="1" max="2" width="3.5703125" customWidth="1"/>
    <col min="3" max="3" width="17.28515625" customWidth="1"/>
    <col min="4" max="4" width="16.42578125" customWidth="1"/>
    <col min="5" max="5" width="16" customWidth="1"/>
    <col min="6" max="6" width="18.5703125" customWidth="1"/>
    <col min="7" max="7" width="34.42578125" customWidth="1"/>
    <col min="8" max="8" width="3.5703125" customWidth="1"/>
  </cols>
  <sheetData>
    <row r="1" spans="2:8" ht="12.75" customHeight="1" thickBot="1" x14ac:dyDescent="0.3"/>
    <row r="2" spans="2:8" ht="30.75" customHeight="1" x14ac:dyDescent="0.45">
      <c r="B2" s="136" t="s">
        <v>166</v>
      </c>
      <c r="C2" s="137"/>
      <c r="D2" s="137"/>
      <c r="E2" s="137"/>
      <c r="F2" s="137"/>
      <c r="G2" s="137"/>
      <c r="H2" s="138"/>
    </row>
    <row r="3" spans="2:8" x14ac:dyDescent="0.25">
      <c r="B3" s="113" t="s">
        <v>167</v>
      </c>
      <c r="C3" s="114"/>
      <c r="D3" s="114"/>
      <c r="E3" s="114"/>
      <c r="F3" s="114"/>
      <c r="G3" s="114"/>
      <c r="H3" s="115"/>
    </row>
    <row r="4" spans="2:8" ht="15" customHeight="1" x14ac:dyDescent="0.25">
      <c r="B4" s="139" t="s">
        <v>168</v>
      </c>
      <c r="C4" s="140"/>
      <c r="D4" s="140"/>
      <c r="E4" s="140"/>
      <c r="F4" s="140"/>
      <c r="G4" s="140"/>
      <c r="H4" s="141"/>
    </row>
    <row r="5" spans="2:8" x14ac:dyDescent="0.25">
      <c r="B5" s="139"/>
      <c r="C5" s="140"/>
      <c r="D5" s="140"/>
      <c r="E5" s="140"/>
      <c r="F5" s="140"/>
      <c r="G5" s="140"/>
      <c r="H5" s="141"/>
    </row>
    <row r="6" spans="2:8" x14ac:dyDescent="0.25">
      <c r="B6" s="139"/>
      <c r="C6" s="140"/>
      <c r="D6" s="140"/>
      <c r="E6" s="140"/>
      <c r="F6" s="140"/>
      <c r="G6" s="140"/>
      <c r="H6" s="141"/>
    </row>
    <row r="7" spans="2:8" x14ac:dyDescent="0.25">
      <c r="B7" s="139"/>
      <c r="C7" s="140"/>
      <c r="D7" s="140"/>
      <c r="E7" s="140"/>
      <c r="F7" s="140"/>
      <c r="G7" s="140"/>
      <c r="H7" s="141"/>
    </row>
    <row r="8" spans="2:8" x14ac:dyDescent="0.25">
      <c r="B8" s="139"/>
      <c r="C8" s="140"/>
      <c r="D8" s="140"/>
      <c r="E8" s="140"/>
      <c r="F8" s="140"/>
      <c r="G8" s="140"/>
      <c r="H8" s="141"/>
    </row>
    <row r="9" spans="2:8" x14ac:dyDescent="0.25">
      <c r="B9" s="21"/>
      <c r="C9" s="22"/>
      <c r="D9" s="22"/>
      <c r="E9" s="22"/>
      <c r="F9" s="22"/>
      <c r="G9" s="22"/>
      <c r="H9" s="23"/>
    </row>
    <row r="10" spans="2:8" x14ac:dyDescent="0.25">
      <c r="B10" s="21"/>
      <c r="C10" s="27"/>
      <c r="D10" s="22" t="s">
        <v>169</v>
      </c>
      <c r="E10" s="22"/>
      <c r="F10" s="22"/>
      <c r="G10" s="22"/>
      <c r="H10" s="23"/>
    </row>
    <row r="11" spans="2:8" x14ac:dyDescent="0.25">
      <c r="B11" s="21"/>
      <c r="C11" s="22"/>
      <c r="D11" s="22"/>
      <c r="E11" s="22"/>
      <c r="F11" s="22"/>
      <c r="G11" s="22"/>
      <c r="H11" s="23"/>
    </row>
    <row r="12" spans="2:8" x14ac:dyDescent="0.25">
      <c r="B12" s="21"/>
      <c r="C12" s="128" t="s">
        <v>170</v>
      </c>
      <c r="D12" s="114"/>
      <c r="E12" s="114"/>
      <c r="F12" s="114"/>
      <c r="G12" s="129"/>
      <c r="H12" s="23"/>
    </row>
    <row r="13" spans="2:8" x14ac:dyDescent="0.25">
      <c r="B13" s="21"/>
      <c r="C13" s="28" t="s">
        <v>171</v>
      </c>
      <c r="D13" s="130" t="s">
        <v>172</v>
      </c>
      <c r="E13" s="131"/>
      <c r="F13" s="132"/>
      <c r="G13" s="28" t="s">
        <v>173</v>
      </c>
      <c r="H13" s="23"/>
    </row>
    <row r="14" spans="2:8" ht="44.25" customHeight="1" x14ac:dyDescent="0.25">
      <c r="B14" s="21"/>
      <c r="C14" s="20" t="s">
        <v>174</v>
      </c>
      <c r="D14" s="133" t="s">
        <v>175</v>
      </c>
      <c r="E14" s="134"/>
      <c r="F14" s="135"/>
      <c r="G14" s="19"/>
      <c r="H14" s="23"/>
    </row>
    <row r="15" spans="2:8" ht="15.75" thickBot="1" x14ac:dyDescent="0.3">
      <c r="B15" s="24"/>
      <c r="C15" s="25"/>
      <c r="D15" s="25"/>
      <c r="E15" s="25"/>
      <c r="F15" s="25"/>
      <c r="G15" s="25"/>
      <c r="H15" s="26"/>
    </row>
  </sheetData>
  <mergeCells count="6">
    <mergeCell ref="C12:G12"/>
    <mergeCell ref="D13:F13"/>
    <mergeCell ref="D14:F14"/>
    <mergeCell ref="B2:H2"/>
    <mergeCell ref="B3:H3"/>
    <mergeCell ref="B4:H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BC69-6BF6-493B-B3E8-7F4378088E83}">
  <sheetPr>
    <tabColor theme="9" tint="0.39997558519241921"/>
  </sheetPr>
  <dimension ref="B1:P34"/>
  <sheetViews>
    <sheetView tabSelected="1" zoomScaleNormal="100" workbookViewId="0">
      <selection activeCell="Q17" sqref="Q17"/>
    </sheetView>
  </sheetViews>
  <sheetFormatPr defaultRowHeight="15" x14ac:dyDescent="0.25"/>
  <cols>
    <col min="1" max="1" width="2.85546875" customWidth="1"/>
    <col min="3" max="3" width="34.42578125" bestFit="1" customWidth="1"/>
    <col min="5" max="5" width="59.5703125" bestFit="1" customWidth="1"/>
    <col min="7" max="7" width="2.140625" customWidth="1"/>
    <col min="8" max="8" width="5" customWidth="1"/>
    <col min="9" max="9" width="5.5703125" customWidth="1"/>
    <col min="10" max="10" width="30.7109375" bestFit="1" customWidth="1"/>
    <col min="11" max="11" width="14" customWidth="1"/>
    <col min="12" max="12" width="16.7109375" customWidth="1"/>
    <col min="13" max="13" width="12.140625" customWidth="1"/>
    <col min="14" max="14" width="9.5703125" customWidth="1"/>
  </cols>
  <sheetData>
    <row r="1" spans="2:16" ht="15" customHeight="1" thickBot="1" x14ac:dyDescent="0.3"/>
    <row r="2" spans="2:16" ht="28.5" customHeight="1" x14ac:dyDescent="0.25">
      <c r="B2" s="116" t="s">
        <v>250</v>
      </c>
      <c r="C2" s="117"/>
      <c r="D2" s="117"/>
      <c r="E2" s="117"/>
      <c r="F2" s="117"/>
      <c r="G2" s="117"/>
      <c r="H2" s="117"/>
      <c r="I2" s="117"/>
      <c r="J2" s="117"/>
      <c r="K2" s="117"/>
      <c r="L2" s="117"/>
      <c r="M2" s="117"/>
      <c r="N2" s="118"/>
    </row>
    <row r="3" spans="2:16" x14ac:dyDescent="0.25">
      <c r="B3" s="119"/>
      <c r="C3" s="120"/>
      <c r="D3" s="120"/>
      <c r="E3" s="120"/>
      <c r="F3" s="120"/>
      <c r="G3" s="120"/>
      <c r="H3" s="120"/>
      <c r="I3" s="120"/>
      <c r="J3" s="120"/>
      <c r="K3" s="120"/>
      <c r="L3" s="120"/>
      <c r="M3" s="120"/>
      <c r="N3" s="121"/>
      <c r="P3" s="49"/>
    </row>
    <row r="4" spans="2:16" ht="4.5" customHeight="1" x14ac:dyDescent="0.25">
      <c r="B4" s="122"/>
      <c r="C4" s="123"/>
      <c r="D4" s="123"/>
      <c r="E4" s="123"/>
      <c r="F4" s="123"/>
      <c r="G4" s="123"/>
      <c r="H4" s="123"/>
      <c r="I4" s="123"/>
      <c r="J4" s="123"/>
      <c r="K4" s="123"/>
      <c r="L4" s="123"/>
      <c r="M4" s="123"/>
      <c r="N4" s="124"/>
    </row>
    <row r="5" spans="2:16" ht="12" customHeight="1" x14ac:dyDescent="0.25">
      <c r="B5" s="21"/>
      <c r="C5" s="22"/>
      <c r="D5" s="22"/>
      <c r="E5" s="22"/>
      <c r="F5" s="22"/>
      <c r="G5" s="22"/>
      <c r="H5" s="22"/>
      <c r="I5" s="22"/>
      <c r="J5" s="22"/>
      <c r="K5" s="22"/>
      <c r="L5" s="22"/>
      <c r="M5" s="22"/>
      <c r="N5" s="23"/>
    </row>
    <row r="6" spans="2:16" x14ac:dyDescent="0.25">
      <c r="B6" s="125" t="s">
        <v>253</v>
      </c>
      <c r="C6" s="126"/>
      <c r="D6" s="126"/>
      <c r="E6" s="126"/>
      <c r="F6" s="126"/>
      <c r="G6" s="126"/>
      <c r="H6" s="126"/>
      <c r="I6" s="126"/>
      <c r="J6" s="126"/>
      <c r="K6" s="126"/>
      <c r="L6" s="126"/>
      <c r="M6" s="126"/>
      <c r="N6" s="127"/>
    </row>
    <row r="7" spans="2:16" x14ac:dyDescent="0.25">
      <c r="B7" s="125"/>
      <c r="C7" s="126"/>
      <c r="D7" s="126"/>
      <c r="E7" s="126"/>
      <c r="F7" s="126"/>
      <c r="G7" s="126"/>
      <c r="H7" s="126"/>
      <c r="I7" s="126"/>
      <c r="J7" s="126"/>
      <c r="K7" s="126"/>
      <c r="L7" s="126"/>
      <c r="M7" s="126"/>
      <c r="N7" s="127"/>
    </row>
    <row r="8" spans="2:16" x14ac:dyDescent="0.25">
      <c r="B8" s="125"/>
      <c r="C8" s="126"/>
      <c r="D8" s="126"/>
      <c r="E8" s="126"/>
      <c r="F8" s="126"/>
      <c r="G8" s="126"/>
      <c r="H8" s="126"/>
      <c r="I8" s="126"/>
      <c r="J8" s="126"/>
      <c r="K8" s="126"/>
      <c r="L8" s="126"/>
      <c r="M8" s="126"/>
      <c r="N8" s="127"/>
    </row>
    <row r="9" spans="2:16" x14ac:dyDescent="0.25">
      <c r="B9" s="125"/>
      <c r="C9" s="126"/>
      <c r="D9" s="126"/>
      <c r="E9" s="126"/>
      <c r="F9" s="126"/>
      <c r="G9" s="126"/>
      <c r="H9" s="126"/>
      <c r="I9" s="126"/>
      <c r="J9" s="126"/>
      <c r="K9" s="126"/>
      <c r="L9" s="126"/>
      <c r="M9" s="126"/>
      <c r="N9" s="127"/>
    </row>
    <row r="10" spans="2:16" ht="103.5" customHeight="1" x14ac:dyDescent="0.25">
      <c r="B10" s="125"/>
      <c r="C10" s="126"/>
      <c r="D10" s="126"/>
      <c r="E10" s="126"/>
      <c r="F10" s="126"/>
      <c r="G10" s="126"/>
      <c r="H10" s="126"/>
      <c r="I10" s="126"/>
      <c r="J10" s="126"/>
      <c r="K10" s="126"/>
      <c r="L10" s="126"/>
      <c r="M10" s="126"/>
      <c r="N10" s="127"/>
      <c r="P10" s="49"/>
    </row>
    <row r="11" spans="2:16" ht="21.75" customHeight="1" x14ac:dyDescent="0.25">
      <c r="B11" s="110" t="s">
        <v>252</v>
      </c>
      <c r="C11" s="111"/>
      <c r="D11" s="111"/>
      <c r="E11" s="111"/>
      <c r="F11" s="111"/>
      <c r="G11" s="111"/>
      <c r="H11" s="111"/>
      <c r="I11" s="111"/>
      <c r="J11" s="111"/>
      <c r="K11" s="111"/>
      <c r="L11" s="111"/>
      <c r="M11" s="111"/>
      <c r="N11" s="112"/>
      <c r="P11" s="49"/>
    </row>
    <row r="12" spans="2:16" ht="7.5" customHeight="1" x14ac:dyDescent="0.25">
      <c r="B12" s="100"/>
      <c r="C12" s="97"/>
      <c r="D12" s="97"/>
      <c r="E12" s="97"/>
      <c r="F12" s="97"/>
      <c r="G12" s="97"/>
      <c r="H12" s="97"/>
      <c r="I12" s="97"/>
      <c r="J12" s="97"/>
      <c r="K12" s="97"/>
      <c r="L12" s="97"/>
      <c r="M12" s="97"/>
      <c r="N12" s="98"/>
      <c r="P12" s="49"/>
    </row>
    <row r="13" spans="2:16" ht="41.25" customHeight="1" x14ac:dyDescent="0.25">
      <c r="B13" s="125" t="s">
        <v>254</v>
      </c>
      <c r="C13" s="126"/>
      <c r="D13" s="126"/>
      <c r="E13" s="126"/>
      <c r="F13" s="126"/>
      <c r="G13" s="126"/>
      <c r="H13" s="126"/>
      <c r="I13" s="126"/>
      <c r="J13" s="126"/>
      <c r="K13" s="126"/>
      <c r="L13" s="126"/>
      <c r="M13" s="126"/>
      <c r="N13" s="127"/>
      <c r="P13" s="49"/>
    </row>
    <row r="14" spans="2:16" ht="7.5" customHeight="1" x14ac:dyDescent="0.25">
      <c r="B14" s="21"/>
      <c r="C14" s="22"/>
      <c r="D14" s="22"/>
      <c r="E14" s="22"/>
      <c r="F14" s="22"/>
      <c r="G14" s="22"/>
      <c r="H14" s="22"/>
      <c r="I14" s="22"/>
      <c r="J14" s="22"/>
      <c r="K14" s="22"/>
      <c r="L14" s="22"/>
      <c r="M14" s="22"/>
      <c r="N14" s="23"/>
    </row>
    <row r="15" spans="2:16" x14ac:dyDescent="0.25">
      <c r="B15" s="113" t="s">
        <v>93</v>
      </c>
      <c r="C15" s="114"/>
      <c r="D15" s="114"/>
      <c r="E15" s="114"/>
      <c r="F15" s="114"/>
      <c r="G15" s="114"/>
      <c r="H15" s="114"/>
      <c r="I15" s="114"/>
      <c r="J15" s="114"/>
      <c r="K15" s="114"/>
      <c r="L15" s="114"/>
      <c r="M15" s="114"/>
      <c r="N15" s="115"/>
    </row>
    <row r="16" spans="2:16" x14ac:dyDescent="0.25">
      <c r="B16" s="21"/>
      <c r="C16" s="22"/>
      <c r="D16" s="22"/>
      <c r="E16" s="22"/>
      <c r="F16" s="22"/>
      <c r="G16" s="22"/>
      <c r="H16" s="22"/>
      <c r="I16" s="22"/>
      <c r="J16" s="22"/>
      <c r="K16" s="22"/>
      <c r="L16" s="22"/>
      <c r="M16" s="22"/>
      <c r="N16" s="23"/>
    </row>
    <row r="17" spans="2:16" ht="17.25" x14ac:dyDescent="0.25">
      <c r="B17" s="21"/>
      <c r="C17" s="29" t="s">
        <v>177</v>
      </c>
      <c r="D17" s="22"/>
      <c r="E17" s="101">
        <v>0</v>
      </c>
      <c r="F17" s="30"/>
      <c r="G17" s="22"/>
      <c r="H17" s="55" t="s">
        <v>180</v>
      </c>
      <c r="I17" s="22"/>
      <c r="J17" s="73" t="s">
        <v>219</v>
      </c>
      <c r="K17" s="22"/>
      <c r="L17" s="22"/>
      <c r="M17" s="22"/>
      <c r="N17" s="23"/>
      <c r="P17" s="49"/>
    </row>
    <row r="18" spans="2:16" x14ac:dyDescent="0.25">
      <c r="B18" s="21"/>
      <c r="C18" s="22"/>
      <c r="D18" s="22"/>
      <c r="E18" s="22"/>
      <c r="F18" s="22"/>
      <c r="G18" s="22"/>
      <c r="H18" s="22"/>
      <c r="I18" s="22"/>
      <c r="J18" s="22" t="s">
        <v>218</v>
      </c>
      <c r="K18" s="105" t="b">
        <v>0</v>
      </c>
      <c r="L18" s="47">
        <f>IFERROR(IF(K18=TRUE, IF(AVERAGE('Cost Breakdown'!$K$5:$K$17)&gt;2.4,Constants!$C$17,Constants!$B$17), 0)*AVERAGE('Cost Breakdown'!L5:$L$17), 0)</f>
        <v>0</v>
      </c>
      <c r="M18" s="22"/>
      <c r="N18" s="23"/>
    </row>
    <row r="19" spans="2:16" x14ac:dyDescent="0.25">
      <c r="B19" s="21"/>
      <c r="C19" s="29" t="s">
        <v>178</v>
      </c>
      <c r="D19" s="22"/>
      <c r="E19" s="102" t="s">
        <v>57</v>
      </c>
      <c r="F19" s="30"/>
      <c r="G19" s="22"/>
      <c r="H19" s="22"/>
      <c r="I19" s="22"/>
      <c r="J19" s="22" t="s">
        <v>215</v>
      </c>
      <c r="K19" s="105" t="b">
        <v>0</v>
      </c>
      <c r="L19" s="47">
        <f>IF(OR(E19="Roof", E19="Traplow"), 0, IF(K19=TRUE,Constants!B19,0))</f>
        <v>0</v>
      </c>
      <c r="M19" s="22"/>
      <c r="N19" s="23"/>
    </row>
    <row r="20" spans="2:16" x14ac:dyDescent="0.25">
      <c r="B20" s="21"/>
      <c r="C20" s="22"/>
      <c r="D20" s="22"/>
      <c r="E20" s="22"/>
      <c r="F20" s="22"/>
      <c r="G20" s="22"/>
      <c r="H20" s="22"/>
      <c r="I20" s="22"/>
      <c r="J20" s="22" t="s">
        <v>216</v>
      </c>
      <c r="K20" s="106">
        <v>0</v>
      </c>
      <c r="L20" s="47">
        <f>IF(OR(E19="Roof", E19="Traplow"), 0, K20*Constants!$B$19)</f>
        <v>0</v>
      </c>
      <c r="M20" s="22"/>
      <c r="N20" s="23"/>
    </row>
    <row r="21" spans="2:16" x14ac:dyDescent="0.25">
      <c r="B21" s="21"/>
      <c r="C21" s="29" t="s">
        <v>179</v>
      </c>
      <c r="D21" s="22"/>
      <c r="E21" s="102" t="s">
        <v>157</v>
      </c>
      <c r="F21" s="30"/>
      <c r="G21" s="22"/>
      <c r="H21" s="22"/>
      <c r="I21" s="22"/>
      <c r="J21" s="22" t="s">
        <v>217</v>
      </c>
      <c r="K21" s="105" t="b">
        <v>0</v>
      </c>
      <c r="L21" s="47">
        <f>IF(OR(E19="Roof", E19="Traplow"), 0, IF(K21=TRUE,SUM(E31:E32)*0.1,0))</f>
        <v>0</v>
      </c>
      <c r="M21" s="22"/>
      <c r="N21" s="23"/>
      <c r="P21" s="49"/>
    </row>
    <row r="22" spans="2:16" x14ac:dyDescent="0.25">
      <c r="B22" s="21"/>
      <c r="C22" s="22"/>
      <c r="D22" s="22"/>
      <c r="E22" s="22"/>
      <c r="F22" s="22"/>
      <c r="G22" s="22"/>
      <c r="H22" s="22"/>
      <c r="I22" s="22"/>
      <c r="J22" s="22" t="s">
        <v>228</v>
      </c>
      <c r="K22" s="107" t="b">
        <v>0</v>
      </c>
      <c r="L22" s="47">
        <f>IFERROR(IF(OR(K22=TRUE, E19="Arched", E19="Modular"),Constants!B22*AVERAGE('Cost Breakdown'!J5:J17),0), "Not Applicable for Roof and Traplow")</f>
        <v>0</v>
      </c>
      <c r="M22" s="22"/>
      <c r="N22" s="23"/>
    </row>
    <row r="23" spans="2:16" x14ac:dyDescent="0.25">
      <c r="B23" s="21"/>
      <c r="C23" s="29" t="s">
        <v>196</v>
      </c>
      <c r="D23" s="22"/>
      <c r="E23" s="103">
        <v>1</v>
      </c>
      <c r="F23" s="30"/>
      <c r="G23" s="22"/>
      <c r="H23" s="22"/>
      <c r="I23" s="29"/>
      <c r="J23" s="29" t="s">
        <v>220</v>
      </c>
      <c r="K23" s="68">
        <f>SUM(L18:L22)</f>
        <v>0</v>
      </c>
      <c r="L23" s="29"/>
      <c r="M23" s="29"/>
      <c r="N23" s="23"/>
      <c r="P23" s="49"/>
    </row>
    <row r="24" spans="2:16" x14ac:dyDescent="0.25">
      <c r="B24" s="21"/>
      <c r="C24" s="29"/>
      <c r="D24" s="22"/>
      <c r="E24" s="22"/>
      <c r="F24" s="22"/>
      <c r="G24" s="22"/>
      <c r="H24" s="22"/>
      <c r="I24" s="29"/>
      <c r="J24" s="29"/>
      <c r="K24" s="29"/>
      <c r="L24" s="29"/>
      <c r="M24" s="29"/>
      <c r="N24" s="23"/>
    </row>
    <row r="25" spans="2:16" x14ac:dyDescent="0.25">
      <c r="B25" s="21"/>
      <c r="C25" s="29" t="s">
        <v>233</v>
      </c>
      <c r="D25" s="22"/>
      <c r="E25" s="103">
        <v>0</v>
      </c>
      <c r="F25" s="30"/>
      <c r="G25" s="22"/>
      <c r="H25" s="22"/>
      <c r="I25" s="29"/>
      <c r="J25" s="29" t="s">
        <v>230</v>
      </c>
      <c r="K25" s="99">
        <f>IF(MAX('Cost Breakdown'!S5:S17)=0, "N.A.", MAX('Cost Breakdown'!S5:S17))</f>
        <v>45852</v>
      </c>
      <c r="L25" s="29"/>
      <c r="M25" s="29"/>
      <c r="N25" s="23"/>
      <c r="P25" s="79"/>
    </row>
    <row r="26" spans="2:16" x14ac:dyDescent="0.25">
      <c r="B26" s="21"/>
      <c r="C26" s="29"/>
      <c r="D26" s="22"/>
      <c r="E26" s="22"/>
      <c r="F26" s="22"/>
      <c r="G26" s="22"/>
      <c r="H26" s="22"/>
      <c r="I26" s="29"/>
      <c r="J26" s="29"/>
      <c r="K26" s="29"/>
      <c r="L26" s="29"/>
      <c r="M26" s="29"/>
      <c r="N26" s="23"/>
    </row>
    <row r="27" spans="2:16" x14ac:dyDescent="0.25">
      <c r="B27" s="21"/>
      <c r="C27" s="29" t="s">
        <v>227</v>
      </c>
      <c r="D27" s="22"/>
      <c r="E27" s="104">
        <v>0.15</v>
      </c>
      <c r="F27" s="30"/>
      <c r="G27" s="22"/>
      <c r="H27" s="22"/>
      <c r="I27" s="29"/>
      <c r="J27" s="29"/>
      <c r="K27" s="29"/>
      <c r="L27" s="29"/>
      <c r="M27" s="29"/>
      <c r="N27" s="23"/>
    </row>
    <row r="28" spans="2:16" x14ac:dyDescent="0.25">
      <c r="B28" s="21"/>
      <c r="C28" s="22"/>
      <c r="D28" s="22"/>
      <c r="E28" s="22"/>
      <c r="F28" s="22"/>
      <c r="G28" s="22"/>
      <c r="H28" s="22"/>
      <c r="I28" s="22"/>
      <c r="J28" s="22"/>
      <c r="K28" s="22"/>
      <c r="L28" s="22"/>
      <c r="M28" s="22"/>
      <c r="N28" s="23"/>
    </row>
    <row r="29" spans="2:16" x14ac:dyDescent="0.25">
      <c r="B29" s="113" t="s">
        <v>151</v>
      </c>
      <c r="C29" s="114"/>
      <c r="D29" s="114"/>
      <c r="E29" s="114"/>
      <c r="F29" s="114"/>
      <c r="G29" s="114"/>
      <c r="H29" s="114"/>
      <c r="I29" s="114"/>
      <c r="J29" s="114"/>
      <c r="K29" s="114"/>
      <c r="L29" s="114"/>
      <c r="M29" s="114"/>
      <c r="N29" s="115"/>
    </row>
    <row r="30" spans="2:16" x14ac:dyDescent="0.25">
      <c r="B30" s="21"/>
      <c r="C30" s="22"/>
      <c r="D30" s="22"/>
      <c r="E30" s="22"/>
      <c r="F30" s="22"/>
      <c r="G30" s="22"/>
      <c r="H30" s="22"/>
      <c r="I30" s="22"/>
      <c r="J30" s="22"/>
      <c r="K30" s="22"/>
      <c r="L30" s="22"/>
      <c r="M30" s="22"/>
      <c r="N30" s="23"/>
    </row>
    <row r="31" spans="2:16" x14ac:dyDescent="0.25">
      <c r="B31" s="21"/>
      <c r="C31" s="29" t="s">
        <v>195</v>
      </c>
      <c r="D31" s="22"/>
      <c r="E31" s="47">
        <f>IF(E19="Traplow", "Additional site grading and storm system costs required.", IF(E19="Roof", "Assume additional 10-15% of building and engineering cost.",'Cost Breakdown'!R18))</f>
        <v>2200</v>
      </c>
      <c r="F31" s="22"/>
      <c r="G31" s="22"/>
      <c r="H31" s="22"/>
      <c r="I31" s="22"/>
      <c r="J31" s="22"/>
      <c r="K31" s="22"/>
      <c r="L31" s="22"/>
      <c r="M31" s="22"/>
      <c r="N31" s="23"/>
    </row>
    <row r="32" spans="2:16" x14ac:dyDescent="0.25">
      <c r="B32" s="21"/>
      <c r="C32" s="29" t="s">
        <v>194</v>
      </c>
      <c r="D32" s="22"/>
      <c r="E32" s="47">
        <f>IFERROR(IF(AND(E21= "Roof Weir", E19&lt;&gt;"Roof"), "Roof Weir only compatible with Roof Storage.", IF(AND(E19="Roof", OR(E21="Vortex", E21="Pump")), "Vortex and Pump Control not Functional with Roof Storage. ", 'Cost Breakdown'!I28*M32)),"")</f>
        <v>450</v>
      </c>
      <c r="F32" s="32" t="str">
        <f>IF(E19="Roof", "", IF(E21="Pump", "Obtain cost and specifications from Supplier.", ""))</f>
        <v/>
      </c>
      <c r="G32" s="22"/>
      <c r="H32" s="22"/>
      <c r="I32" s="22"/>
      <c r="J32" s="22"/>
      <c r="K32" s="109" t="s">
        <v>251</v>
      </c>
      <c r="L32" s="109"/>
      <c r="M32" s="108">
        <v>1</v>
      </c>
      <c r="N32" s="23"/>
    </row>
    <row r="33" spans="2:14" x14ac:dyDescent="0.25">
      <c r="B33" s="21"/>
      <c r="C33" s="29" t="s">
        <v>232</v>
      </c>
      <c r="D33" s="22"/>
      <c r="E33" s="47">
        <f>IFERROR(SUM(E31:E32,K23)*E23*(1+E27), "")</f>
        <v>3047.4999999999995</v>
      </c>
      <c r="F33" s="32"/>
      <c r="G33" s="22"/>
      <c r="H33" s="22"/>
      <c r="I33" s="22"/>
      <c r="J33" s="22"/>
      <c r="K33" s="22"/>
      <c r="L33" s="22"/>
      <c r="M33" s="22"/>
      <c r="N33" s="23"/>
    </row>
    <row r="34" spans="2:14" ht="15.75" thickBot="1" x14ac:dyDescent="0.3">
      <c r="B34" s="24"/>
      <c r="C34" s="25"/>
      <c r="D34" s="25"/>
      <c r="E34" s="48"/>
      <c r="F34" s="25"/>
      <c r="G34" s="25"/>
      <c r="H34" s="25"/>
      <c r="I34" s="25"/>
      <c r="J34" s="25"/>
      <c r="K34" s="25"/>
      <c r="L34" s="25"/>
      <c r="M34" s="25"/>
      <c r="N34" s="26"/>
    </row>
  </sheetData>
  <sheetProtection algorithmName="SHA-512" hashValue="rpLbefRcYpVJ5EyufhrorX6MpHv4TJZjSIfQ1nslS1qvp6Ymq5q79wK4xk1Ko8etj31Chfcy+cbBqOqkymqSeA==" saltValue="XJmHufqLTjl7SqBMQpGGNQ==" spinCount="100000" sheet="1" objects="1" scenarios="1"/>
  <mergeCells count="7">
    <mergeCell ref="K32:L32"/>
    <mergeCell ref="B11:N11"/>
    <mergeCell ref="B29:N29"/>
    <mergeCell ref="B2:N4"/>
    <mergeCell ref="B6:N10"/>
    <mergeCell ref="B15:N15"/>
    <mergeCell ref="B13:N13"/>
  </mergeCells>
  <conditionalFormatting sqref="J18:J22">
    <cfRule type="expression" dxfId="4" priority="6">
      <formula>$E$19="Traplow"</formula>
    </cfRule>
    <cfRule type="expression" dxfId="3" priority="7">
      <formula>$E$19="Roof"</formula>
    </cfRule>
  </conditionalFormatting>
  <conditionalFormatting sqref="J22">
    <cfRule type="expression" dxfId="2" priority="1">
      <formula>$E$19="Modular"</formula>
    </cfRule>
    <cfRule type="expression" dxfId="1" priority="2">
      <formula>$E$19="Arched"</formula>
    </cfRule>
  </conditionalFormatting>
  <conditionalFormatting sqref="K25">
    <cfRule type="expression" dxfId="0" priority="5">
      <formula>$E$19="Roof"</formula>
    </cfRule>
  </conditionalFormatting>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F3F39A35-4CD5-4DE6-B054-6F04CE174D99}">
          <x14:formula1>
            <xm:f>Constants!$A$3:$A$9</xm:f>
          </x14:formula1>
          <xm:sqref>E19</xm:sqref>
        </x14:dataValidation>
        <x14:dataValidation type="list" allowBlank="1" showInputMessage="1" showErrorMessage="1" xr:uid="{8600540C-CB98-4833-A2A3-70DBCF9C64F8}">
          <x14:formula1>
            <xm:f>Constants!$A$11:$A$15</xm:f>
          </x14:formula1>
          <xm:sqref>E21</xm:sqref>
        </x14:dataValidation>
        <x14:dataValidation type="list" allowBlank="1" showInputMessage="1" showErrorMessage="1" xr:uid="{CA82844A-7CB4-42C5-9025-0FBF313F787C}">
          <x14:formula1>
            <xm:f>Constants!$D$17:$D$21</xm:f>
          </x14:formula1>
          <xm:sqref>K20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8A76-B089-4E51-8941-654EB208A9F2}">
  <sheetPr>
    <tabColor theme="9" tint="0.39997558519241921"/>
  </sheetPr>
  <dimension ref="B2:U29"/>
  <sheetViews>
    <sheetView workbookViewId="0">
      <selection activeCell="Q31" sqref="Q31"/>
    </sheetView>
  </sheetViews>
  <sheetFormatPr defaultRowHeight="15" x14ac:dyDescent="0.25"/>
  <cols>
    <col min="1" max="1" width="2.7109375" customWidth="1"/>
    <col min="2" max="2" width="15.28515625" hidden="1" customWidth="1"/>
    <col min="3" max="5" width="9.140625" hidden="1" customWidth="1"/>
    <col min="6" max="6" width="19.5703125" hidden="1" customWidth="1"/>
    <col min="7" max="7" width="20.28515625" hidden="1" customWidth="1"/>
    <col min="8" max="8" width="13.42578125" customWidth="1"/>
    <col min="9" max="9" width="16.140625" customWidth="1"/>
    <col min="10" max="10" width="15.7109375" customWidth="1"/>
    <col min="11" max="11" width="13.7109375" customWidth="1"/>
    <col min="12" max="12" width="15.140625" customWidth="1"/>
    <col min="13" max="13" width="16.5703125" customWidth="1"/>
    <col min="14" max="14" width="13.5703125" customWidth="1"/>
    <col min="15" max="15" width="13.28515625" customWidth="1"/>
    <col min="16" max="16" width="16.42578125" customWidth="1"/>
    <col min="17" max="17" width="10.28515625" customWidth="1"/>
    <col min="18" max="18" width="14.85546875" customWidth="1"/>
    <col min="19" max="19" width="12.5703125" bestFit="1" customWidth="1"/>
    <col min="20" max="20" width="12.5703125" customWidth="1"/>
  </cols>
  <sheetData>
    <row r="2" spans="2:20" ht="23.25" x14ac:dyDescent="0.35">
      <c r="F2" s="86"/>
      <c r="G2" s="87"/>
      <c r="H2" s="145" t="s">
        <v>188</v>
      </c>
      <c r="I2" s="146"/>
      <c r="J2" s="146"/>
      <c r="K2" s="146"/>
      <c r="L2" s="146"/>
      <c r="M2" s="146"/>
      <c r="N2" s="146"/>
      <c r="O2" s="146"/>
      <c r="P2" s="146"/>
      <c r="Q2" s="146"/>
      <c r="R2" s="146"/>
      <c r="S2" s="147"/>
      <c r="T2" s="80"/>
    </row>
    <row r="3" spans="2:20" ht="18.75" customHeight="1" x14ac:dyDescent="0.3">
      <c r="F3" s="84"/>
      <c r="G3" s="85"/>
      <c r="H3" s="142" t="s">
        <v>185</v>
      </c>
      <c r="I3" s="143"/>
      <c r="J3" s="143"/>
      <c r="K3" s="143"/>
      <c r="L3" s="143"/>
      <c r="M3" s="144"/>
      <c r="N3" s="142" t="s">
        <v>187</v>
      </c>
      <c r="O3" s="143"/>
      <c r="P3" s="143"/>
      <c r="Q3" s="143"/>
      <c r="R3" s="144"/>
      <c r="S3" s="149" t="s">
        <v>197</v>
      </c>
    </row>
    <row r="4" spans="2:20" ht="32.25" x14ac:dyDescent="0.25">
      <c r="B4" s="148" t="s">
        <v>182</v>
      </c>
      <c r="C4" s="148"/>
      <c r="F4" s="65" t="s">
        <v>132</v>
      </c>
      <c r="G4" s="65" t="s">
        <v>181</v>
      </c>
      <c r="H4" s="66" t="s">
        <v>247</v>
      </c>
      <c r="I4" s="66" t="s">
        <v>134</v>
      </c>
      <c r="J4" s="66" t="s">
        <v>192</v>
      </c>
      <c r="K4" s="66" t="s">
        <v>237</v>
      </c>
      <c r="L4" s="66" t="s">
        <v>238</v>
      </c>
      <c r="M4" s="66" t="s">
        <v>193</v>
      </c>
      <c r="N4" s="66" t="s">
        <v>140</v>
      </c>
      <c r="O4" s="66" t="s">
        <v>141</v>
      </c>
      <c r="P4" s="66" t="s">
        <v>143</v>
      </c>
      <c r="Q4" s="66" t="s">
        <v>149</v>
      </c>
      <c r="R4" s="50" t="s">
        <v>151</v>
      </c>
      <c r="S4" s="150"/>
    </row>
    <row r="5" spans="2:20" x14ac:dyDescent="0.25">
      <c r="B5" t="s">
        <v>55</v>
      </c>
      <c r="C5">
        <f>'User Input'!E17</f>
        <v>0</v>
      </c>
      <c r="E5" t="str" cm="1">
        <f t="array" ref="E5:G17">_xlfn._xlws.FILTER('Storages Background Info'!A3:C29,'Storages Background Info'!A3:A29=C6,"")</f>
        <v>Concrete</v>
      </c>
      <c r="F5" s="40" t="str">
        <v>Storm Capture</v>
      </c>
      <c r="G5" s="41" t="str">
        <v>7x15x2 (ft)</v>
      </c>
      <c r="H5" s="88">
        <f>IFERROR(VLOOKUP(G5, 'Storages Background Info'!$C$3:$W$29,21,FALSE), "")</f>
        <v>1</v>
      </c>
      <c r="I5" s="63">
        <f>IFERROR(ROUNDUP($C$5/VLOOKUP(G5,'Storages Background Info'!$C$2:$K$29,9,FALSE),0),"")</f>
        <v>0</v>
      </c>
      <c r="J5" s="63">
        <f>IFERROR(ROUNDUP(I5*VLOOKUP(G5,'Storages Background Info'!$C$3:$N$29,12,FALSE),2), "")</f>
        <v>0</v>
      </c>
      <c r="K5" s="63">
        <f>IFERROR(ROUNDUP(VLOOKUP(G5,'Storages Background Info'!$C$3:$U$29,13,FALSE)+VLOOKUP(G5,'Storages Background Info'!$C$3:$U$29,15,FALSE)+'User Input'!$E$25, 2), "")</f>
        <v>1.21</v>
      </c>
      <c r="L5" s="63">
        <f>IFERROR(ROUNDUP(VLOOKUP(G5,'Storages Background Info'!$C$3:$U$29,14,FALSE), 2), "")</f>
        <v>13.75</v>
      </c>
      <c r="M5" s="64">
        <f>IFERROR(((VLOOKUP(G5,'Storages Background Info'!$C$2:$R$29,13,FALSE)+VLOOKUP(G5,'Storages Background Info'!$C$2:$R$29,14,FALSE)+'User Input'!$E$25)*VLOOKUP(G5,'Storages Background Info'!$C$2:$R$29,12,FALSE))*I5, "")</f>
        <v>0</v>
      </c>
      <c r="N5" s="63">
        <f>IFERROR(VLOOKUP(G5,'Storages Background Info'!$C$2:$T$30,18, FALSE)*$C$5,"")</f>
        <v>0</v>
      </c>
      <c r="O5" s="64">
        <f>IFERROR(M5*Constants!$B$3, "")</f>
        <v>0</v>
      </c>
      <c r="P5" s="63">
        <f>IFERROR(VLOOKUP(G5,'Storages Background Info'!$C$2:$R$30,16,FALSE)*Constants!$C$3,"")</f>
        <v>1000</v>
      </c>
      <c r="Q5" s="63">
        <f>IFERROR(VLOOKUP(G5,'Storages Background Info'!$C$2:$S$30,17,FALSE)*Constants!$E$3, "")</f>
        <v>1200</v>
      </c>
      <c r="R5" s="64">
        <f t="shared" ref="R5:R17" si="0">IF(SUM(N5:Q5)=0,"",SUM(N5:Q5))</f>
        <v>2200</v>
      </c>
      <c r="S5" s="76">
        <f>IFERROR(VLOOKUP(G5, 'Storages Background Info'!$C$3:$U$29,19,FALSE), "")</f>
        <v>45852</v>
      </c>
    </row>
    <row r="6" spans="2:20" x14ac:dyDescent="0.25">
      <c r="B6" t="s">
        <v>183</v>
      </c>
      <c r="C6" t="str">
        <f>'User Input'!E19</f>
        <v>Concrete</v>
      </c>
      <c r="E6" t="str">
        <v>Concrete</v>
      </c>
      <c r="F6" s="35" t="str">
        <v>Storm Capture</v>
      </c>
      <c r="G6" s="22" t="str">
        <v>7x15x4 (ft)</v>
      </c>
      <c r="H6" s="81">
        <f>IFERROR(VLOOKUP(G6, 'Storages Background Info'!$C$3:$W$29,21,FALSE), "")</f>
        <v>2</v>
      </c>
      <c r="I6" s="55">
        <f>IFERROR(ROUNDUP($C$5/VLOOKUP(G6,'Storages Background Info'!$C$2:$K$29,9,FALSE),0),"")</f>
        <v>0</v>
      </c>
      <c r="J6" s="55">
        <f>IFERROR(ROUNDUP(I6*VLOOKUP(G6,'Storages Background Info'!$C$3:$N$29,12,FALSE),2), "")</f>
        <v>0</v>
      </c>
      <c r="K6" s="55">
        <f>IFERROR(ROUNDUP(VLOOKUP(G6,'Storages Background Info'!$C$3:$U$29,13,FALSE)+VLOOKUP(G6,'Storages Background Info'!$C$3:$U$29,15,FALSE)+'User Input'!$E$25, 2), "")</f>
        <v>1.82</v>
      </c>
      <c r="L6" s="55">
        <f>IFERROR(ROUNDUP(VLOOKUP(G6,'Storages Background Info'!$C$3:$U$29,14,FALSE), 2), "")</f>
        <v>13.75</v>
      </c>
      <c r="M6" s="89">
        <f>IFERROR(((VLOOKUP(G6,'Storages Background Info'!$C$2:$R$29,13,FALSE)+VLOOKUP(G6,'Storages Background Info'!$C$2:$R$29,14,FALSE)+'User Input'!$E$25)*VLOOKUP(G6,'Storages Background Info'!$C$2:$R$29,12,FALSE))*I6, "")</f>
        <v>0</v>
      </c>
      <c r="N6" s="55">
        <f>IFERROR(VLOOKUP(G6,'Storages Background Info'!$C$2:$T$30,18, FALSE)*$C$5,"")</f>
        <v>0</v>
      </c>
      <c r="O6" s="89">
        <f>IFERROR(M6*Constants!$B$3, "")</f>
        <v>0</v>
      </c>
      <c r="P6" s="55">
        <f>IFERROR(VLOOKUP(G6,'Storages Background Info'!$C$2:$R$30,16,FALSE)*Constants!$C$3,"")</f>
        <v>1000</v>
      </c>
      <c r="Q6" s="55">
        <f>IFERROR(VLOOKUP(G6,'Storages Background Info'!$C$2:$S$30,17,FALSE)*Constants!$E$3, "")</f>
        <v>1200</v>
      </c>
      <c r="R6" s="89">
        <f t="shared" si="0"/>
        <v>2200</v>
      </c>
      <c r="S6" s="77">
        <f>IFERROR(VLOOKUP(G6, 'Storages Background Info'!$C$3:$U$29,19,FALSE), "")</f>
        <v>45852</v>
      </c>
    </row>
    <row r="7" spans="2:20" x14ac:dyDescent="0.25">
      <c r="B7" t="s">
        <v>184</v>
      </c>
      <c r="C7" t="str">
        <f>'User Input'!E21</f>
        <v>Orifice</v>
      </c>
      <c r="E7" t="str">
        <v>Concrete</v>
      </c>
      <c r="F7" s="35" t="str">
        <v>Storm Capture</v>
      </c>
      <c r="G7" s="22" t="str">
        <v>7x15x6 (ft)</v>
      </c>
      <c r="H7" s="81">
        <f>IFERROR(VLOOKUP(G7, 'Storages Background Info'!$C$3:$W$29,21,FALSE), "")</f>
        <v>3</v>
      </c>
      <c r="I7" s="55">
        <f>IFERROR(ROUNDUP($C$5/VLOOKUP(G7,'Storages Background Info'!$C$2:$K$29,9,FALSE),0),"")</f>
        <v>0</v>
      </c>
      <c r="J7" s="55">
        <f>IFERROR(ROUNDUP(I7*VLOOKUP(G7,'Storages Background Info'!$C$3:$N$29,12,FALSE),2), "")</f>
        <v>0</v>
      </c>
      <c r="K7" s="55">
        <f>IFERROR(ROUNDUP(VLOOKUP(G7,'Storages Background Info'!$C$3:$U$29,13,FALSE)+VLOOKUP(G7,'Storages Background Info'!$C$3:$U$29,15,FALSE)+'User Input'!$E$25, 2), "")</f>
        <v>2.4299999999999997</v>
      </c>
      <c r="L7" s="55">
        <f>IFERROR(ROUNDUP(VLOOKUP(G7,'Storages Background Info'!$C$3:$U$29,14,FALSE), 2), "")</f>
        <v>13.75</v>
      </c>
      <c r="M7" s="89">
        <f>IFERROR(((VLOOKUP(G7,'Storages Background Info'!$C$2:$R$29,13,FALSE)+VLOOKUP(G7,'Storages Background Info'!$C$2:$R$29,14,FALSE)+'User Input'!$E$25)*VLOOKUP(G7,'Storages Background Info'!$C$2:$R$29,12,FALSE))*I7, "")</f>
        <v>0</v>
      </c>
      <c r="N7" s="55">
        <f>IFERROR(VLOOKUP(G7,'Storages Background Info'!$C$2:$T$30,18, FALSE)*$C$5,"")</f>
        <v>0</v>
      </c>
      <c r="O7" s="89">
        <f>IFERROR(M7*Constants!$B$3, "")</f>
        <v>0</v>
      </c>
      <c r="P7" s="55">
        <f>IFERROR(VLOOKUP(G7,'Storages Background Info'!$C$2:$R$30,16,FALSE)*Constants!$C$3,"")</f>
        <v>1000</v>
      </c>
      <c r="Q7" s="55">
        <f>IFERROR(VLOOKUP(G7,'Storages Background Info'!$C$2:$S$30,17,FALSE)*Constants!$E$3, "")</f>
        <v>1200</v>
      </c>
      <c r="R7" s="89">
        <f t="shared" si="0"/>
        <v>2200</v>
      </c>
      <c r="S7" s="77">
        <f>IFERROR(VLOOKUP(G7, 'Storages Background Info'!$C$3:$U$29,19,FALSE), "")</f>
        <v>45852</v>
      </c>
    </row>
    <row r="8" spans="2:20" x14ac:dyDescent="0.25">
      <c r="E8" t="str">
        <v>Concrete</v>
      </c>
      <c r="F8" s="35" t="str">
        <v>Storm Capture</v>
      </c>
      <c r="G8" s="22" t="str">
        <v>7x15x8 (ft)</v>
      </c>
      <c r="H8" s="81">
        <f>IFERROR(VLOOKUP(G8, 'Storages Background Info'!$C$3:$W$29,21,FALSE), "")</f>
        <v>4</v>
      </c>
      <c r="I8" s="55">
        <f>IFERROR(ROUNDUP($C$5/VLOOKUP(G8,'Storages Background Info'!$C$2:$K$29,9,FALSE),0),"")</f>
        <v>0</v>
      </c>
      <c r="J8" s="55">
        <f>IFERROR(ROUNDUP(I8*VLOOKUP(G8,'Storages Background Info'!$C$3:$N$29,12,FALSE),2), "")</f>
        <v>0</v>
      </c>
      <c r="K8" s="55">
        <f>IFERROR(ROUNDUP(VLOOKUP(G8,'Storages Background Info'!$C$3:$U$29,13,FALSE)+VLOOKUP(G8,'Storages Background Info'!$C$3:$U$29,15,FALSE)+'User Input'!$E$25, 2), "")</f>
        <v>3.0399999999999996</v>
      </c>
      <c r="L8" s="55">
        <f>IFERROR(ROUNDUP(VLOOKUP(G8,'Storages Background Info'!$C$3:$U$29,14,FALSE), 2), "")</f>
        <v>13.75</v>
      </c>
      <c r="M8" s="89">
        <f>IFERROR(((VLOOKUP(G8,'Storages Background Info'!$C$2:$R$29,13,FALSE)+VLOOKUP(G8,'Storages Background Info'!$C$2:$R$29,14,FALSE)+'User Input'!$E$25)*VLOOKUP(G8,'Storages Background Info'!$C$2:$R$29,12,FALSE))*I8, "")</f>
        <v>0</v>
      </c>
      <c r="N8" s="55">
        <f>IFERROR(VLOOKUP(G8,'Storages Background Info'!$C$2:$T$30,18, FALSE)*$C$5,"")</f>
        <v>0</v>
      </c>
      <c r="O8" s="89">
        <f>IFERROR(M8*Constants!$B$3, "")</f>
        <v>0</v>
      </c>
      <c r="P8" s="55">
        <f>IFERROR(VLOOKUP(G8,'Storages Background Info'!$C$2:$R$30,16,FALSE)*Constants!$C$3,"")</f>
        <v>1000</v>
      </c>
      <c r="Q8" s="55">
        <f>IFERROR(VLOOKUP(G8,'Storages Background Info'!$C$2:$S$30,17,FALSE)*Constants!$E$3, "")</f>
        <v>1200</v>
      </c>
      <c r="R8" s="89">
        <f t="shared" si="0"/>
        <v>2200</v>
      </c>
      <c r="S8" s="77">
        <f>IFERROR(VLOOKUP(G8, 'Storages Background Info'!$C$3:$U$29,19,FALSE), "")</f>
        <v>45852</v>
      </c>
    </row>
    <row r="9" spans="2:20" x14ac:dyDescent="0.25">
      <c r="E9" t="str">
        <v>Concrete</v>
      </c>
      <c r="F9" s="35" t="str">
        <v>Storm Trap</v>
      </c>
      <c r="G9" s="22" t="str">
        <v>1200x900 (mm)</v>
      </c>
      <c r="H9" s="81">
        <f>IFERROR(VLOOKUP(G9, 'Storages Background Info'!$C$3:$W$29,21,FALSE), "")</f>
        <v>5</v>
      </c>
      <c r="I9" s="55">
        <f>IFERROR(ROUNDUP($C$5/VLOOKUP(G9,'Storages Background Info'!$C$2:$K$29,9,FALSE),0),"")</f>
        <v>0</v>
      </c>
      <c r="J9" s="55">
        <f>IFERROR(ROUNDUP(I9*VLOOKUP(G9,'Storages Background Info'!$C$3:$N$29,12,FALSE),2), "")</f>
        <v>0</v>
      </c>
      <c r="K9" s="55">
        <f>IFERROR(ROUNDUP(VLOOKUP(G9,'Storages Background Info'!$C$3:$U$29,13,FALSE)+VLOOKUP(G9,'Storages Background Info'!$C$3:$U$29,15,FALSE)+'User Input'!$E$25, 2), "")</f>
        <v>3</v>
      </c>
      <c r="L9" s="55">
        <f>IFERROR(ROUNDUP(VLOOKUP(G9,'Storages Background Info'!$C$3:$U$29,14,FALSE), 2), "")</f>
        <v>4.2</v>
      </c>
      <c r="M9" s="89">
        <f>IFERROR(((VLOOKUP(G9,'Storages Background Info'!$C$2:$R$29,13,FALSE)+VLOOKUP(G9,'Storages Background Info'!$C$2:$R$29,14,FALSE)+'User Input'!$E$25)*VLOOKUP(G9,'Storages Background Info'!$C$2:$R$29,12,FALSE))*I9, "")</f>
        <v>0</v>
      </c>
      <c r="N9" s="55">
        <f>IFERROR(VLOOKUP(G9,'Storages Background Info'!$C$2:$T$30,18, FALSE)*$C$5,"")</f>
        <v>0</v>
      </c>
      <c r="O9" s="89">
        <f>IFERROR(M9*Constants!$B$3, "")</f>
        <v>0</v>
      </c>
      <c r="P9" s="55">
        <f>IFERROR(VLOOKUP(G9,'Storages Background Info'!$C$2:$R$30,16,FALSE)*Constants!$C$3,"")</f>
        <v>1000</v>
      </c>
      <c r="Q9" s="55">
        <f>IFERROR(VLOOKUP(G9,'Storages Background Info'!$C$2:$S$30,17,FALSE)*Constants!$E$3, "")</f>
        <v>1200</v>
      </c>
      <c r="R9" s="89">
        <f t="shared" si="0"/>
        <v>2200</v>
      </c>
      <c r="S9" s="77">
        <f>IFERROR(VLOOKUP(G9, 'Storages Background Info'!$C$3:$U$29,19,FALSE), "")</f>
        <v>45852</v>
      </c>
    </row>
    <row r="10" spans="2:20" x14ac:dyDescent="0.25">
      <c r="E10" t="str">
        <v>Concrete</v>
      </c>
      <c r="F10" s="35" t="str">
        <v>Storm Trap</v>
      </c>
      <c r="G10" s="22" t="str">
        <v>1800x1200 (mm)</v>
      </c>
      <c r="H10" s="81">
        <f>IFERROR(VLOOKUP(G10, 'Storages Background Info'!$C$3:$W$29,21,FALSE), "")</f>
        <v>6</v>
      </c>
      <c r="I10" s="55">
        <f>IFERROR(ROUNDUP($C$5/VLOOKUP(G10,'Storages Background Info'!$C$2:$K$29,9,FALSE),0),"")</f>
        <v>0</v>
      </c>
      <c r="J10" s="55">
        <f>IFERROR(ROUNDUP(I10*VLOOKUP(G10,'Storages Background Info'!$C$3:$N$29,12,FALSE),2), "")</f>
        <v>0</v>
      </c>
      <c r="K10" s="55">
        <f>IFERROR(ROUNDUP(VLOOKUP(G10,'Storages Background Info'!$C$3:$U$29,13,FALSE)+VLOOKUP(G10,'Storages Background Info'!$C$3:$U$29,15,FALSE)+'User Input'!$E$25, 2), "")</f>
        <v>3</v>
      </c>
      <c r="L10" s="55">
        <f>IFERROR(ROUNDUP(VLOOKUP(G10,'Storages Background Info'!$C$3:$U$29,14,FALSE), 2), "")</f>
        <v>6</v>
      </c>
      <c r="M10" s="89">
        <f>IFERROR(((VLOOKUP(G10,'Storages Background Info'!$C$2:$R$29,13,FALSE)+VLOOKUP(G10,'Storages Background Info'!$C$2:$R$29,14,FALSE)+'User Input'!$E$25)*VLOOKUP(G10,'Storages Background Info'!$C$2:$R$29,12,FALSE))*I10, "")</f>
        <v>0</v>
      </c>
      <c r="N10" s="55">
        <f>IFERROR(VLOOKUP(G10,'Storages Background Info'!$C$2:$T$30,18, FALSE)*$C$5,"")</f>
        <v>0</v>
      </c>
      <c r="O10" s="89">
        <f>IFERROR(M10*Constants!$B$3, "")</f>
        <v>0</v>
      </c>
      <c r="P10" s="55">
        <f>IFERROR(VLOOKUP(G10,'Storages Background Info'!$C$2:$R$30,16,FALSE)*Constants!$C$3,"")</f>
        <v>1000</v>
      </c>
      <c r="Q10" s="55">
        <f>IFERROR(VLOOKUP(G10,'Storages Background Info'!$C$2:$S$30,17,FALSE)*Constants!$E$3, "")</f>
        <v>1200</v>
      </c>
      <c r="R10" s="89">
        <f t="shared" si="0"/>
        <v>2200</v>
      </c>
      <c r="S10" s="77">
        <f>IFERROR(VLOOKUP(G10, 'Storages Background Info'!$C$3:$U$29,19,FALSE), "")</f>
        <v>45852</v>
      </c>
    </row>
    <row r="11" spans="2:20" x14ac:dyDescent="0.25">
      <c r="E11" t="str">
        <v>Concrete</v>
      </c>
      <c r="F11" s="35" t="str">
        <v>Storm Trap</v>
      </c>
      <c r="G11" s="22" t="str">
        <v>2400x1200 (mm)</v>
      </c>
      <c r="H11" s="81">
        <f>IFERROR(VLOOKUP(G11, 'Storages Background Info'!$C$3:$W$29,21,FALSE), "")</f>
        <v>7</v>
      </c>
      <c r="I11" s="55">
        <f>IFERROR(ROUNDUP($C$5/VLOOKUP(G11,'Storages Background Info'!$C$2:$K$29,9,FALSE),0),"")</f>
        <v>0</v>
      </c>
      <c r="J11" s="55">
        <f>IFERROR(ROUNDUP(I11*VLOOKUP(G11,'Storages Background Info'!$C$3:$N$29,12,FALSE),2), "")</f>
        <v>0</v>
      </c>
      <c r="K11" s="55">
        <f>IFERROR(ROUNDUP(VLOOKUP(G11,'Storages Background Info'!$C$3:$U$29,13,FALSE)+VLOOKUP(G11,'Storages Background Info'!$C$3:$U$29,15,FALSE)+'User Input'!$E$25, 2), "")</f>
        <v>3</v>
      </c>
      <c r="L11" s="55">
        <f>IFERROR(ROUNDUP(VLOOKUP(G11,'Storages Background Info'!$C$3:$U$29,14,FALSE), 2), "")</f>
        <v>7.2</v>
      </c>
      <c r="M11" s="89">
        <f>IFERROR(((VLOOKUP(G11,'Storages Background Info'!$C$2:$R$29,13,FALSE)+VLOOKUP(G11,'Storages Background Info'!$C$2:$R$29,14,FALSE)+'User Input'!$E$25)*VLOOKUP(G11,'Storages Background Info'!$C$2:$R$29,12,FALSE))*I11, "")</f>
        <v>0</v>
      </c>
      <c r="N11" s="55">
        <f>IFERROR(VLOOKUP(G11,'Storages Background Info'!$C$2:$T$30,18, FALSE)*$C$5,"")</f>
        <v>0</v>
      </c>
      <c r="O11" s="89">
        <f>IFERROR(M11*Constants!$B$3, "")</f>
        <v>0</v>
      </c>
      <c r="P11" s="55">
        <f>IFERROR(VLOOKUP(G11,'Storages Background Info'!$C$2:$R$30,16,FALSE)*Constants!$C$3,"")</f>
        <v>1000</v>
      </c>
      <c r="Q11" s="55">
        <f>IFERROR(VLOOKUP(G11,'Storages Background Info'!$C$2:$S$30,17,FALSE)*Constants!$E$3, "")</f>
        <v>1200</v>
      </c>
      <c r="R11" s="89">
        <f t="shared" si="0"/>
        <v>2200</v>
      </c>
      <c r="S11" s="77">
        <f>IFERROR(VLOOKUP(G11, 'Storages Background Info'!$C$3:$U$29,19,FALSE), "")</f>
        <v>45852</v>
      </c>
    </row>
    <row r="12" spans="2:20" x14ac:dyDescent="0.25">
      <c r="E12" t="str">
        <v>Concrete</v>
      </c>
      <c r="F12" s="35" t="str">
        <v>Storm Trap</v>
      </c>
      <c r="G12" s="22" t="str">
        <v>2400x1800 (mm)</v>
      </c>
      <c r="H12" s="81">
        <f>IFERROR(VLOOKUP(G12, 'Storages Background Info'!$C$3:$W$29,21,FALSE), "")</f>
        <v>8</v>
      </c>
      <c r="I12" s="55">
        <f>IFERROR(ROUNDUP($C$5/VLOOKUP(G12,'Storages Background Info'!$C$2:$K$29,9,FALSE),0),"")</f>
        <v>0</v>
      </c>
      <c r="J12" s="55">
        <f>IFERROR(ROUNDUP(I12*VLOOKUP(G12,'Storages Background Info'!$C$3:$N$29,12,FALSE),2), "")</f>
        <v>0</v>
      </c>
      <c r="K12" s="55">
        <f>IFERROR(ROUNDUP(VLOOKUP(G12,'Storages Background Info'!$C$3:$U$29,13,FALSE)+VLOOKUP(G12,'Storages Background Info'!$C$3:$U$29,15,FALSE)+'User Input'!$E$25, 2), "")</f>
        <v>3</v>
      </c>
      <c r="L12" s="55">
        <f>IFERROR(ROUNDUP(VLOOKUP(G12,'Storages Background Info'!$C$3:$U$29,14,FALSE), 2), "")</f>
        <v>8.4</v>
      </c>
      <c r="M12" s="89">
        <f>IFERROR(((VLOOKUP(G12,'Storages Background Info'!$C$2:$R$29,13,FALSE)+VLOOKUP(G12,'Storages Background Info'!$C$2:$R$29,14,FALSE)+'User Input'!$E$25)*VLOOKUP(G12,'Storages Background Info'!$C$2:$R$29,12,FALSE))*I12, "")</f>
        <v>0</v>
      </c>
      <c r="N12" s="55">
        <f>IFERROR(VLOOKUP(G12,'Storages Background Info'!$C$2:$T$30,18, FALSE)*$C$5,"")</f>
        <v>0</v>
      </c>
      <c r="O12" s="89">
        <f>IFERROR(M12*Constants!$B$3, "")</f>
        <v>0</v>
      </c>
      <c r="P12" s="55">
        <f>IFERROR(VLOOKUP(G12,'Storages Background Info'!$C$2:$R$30,16,FALSE)*Constants!$C$3,"")</f>
        <v>1000</v>
      </c>
      <c r="Q12" s="55">
        <f>IFERROR(VLOOKUP(G12,'Storages Background Info'!$C$2:$S$30,17,FALSE)*Constants!$E$3, "")</f>
        <v>1200</v>
      </c>
      <c r="R12" s="89">
        <f t="shared" si="0"/>
        <v>2200</v>
      </c>
      <c r="S12" s="77">
        <f>IFERROR(VLOOKUP(G12, 'Storages Background Info'!$C$3:$U$29,19,FALSE), "")</f>
        <v>45852</v>
      </c>
    </row>
    <row r="13" spans="2:20" x14ac:dyDescent="0.25">
      <c r="E13" t="str">
        <v>Concrete</v>
      </c>
      <c r="F13" s="35" t="str">
        <v>Storm Trap</v>
      </c>
      <c r="G13" s="22" t="str">
        <v>2440x2400 (mm)</v>
      </c>
      <c r="H13" s="81">
        <f>IFERROR(VLOOKUP(G13, 'Storages Background Info'!$C$3:$W$29,21,FALSE), "")</f>
        <v>9</v>
      </c>
      <c r="I13" s="55">
        <f>IFERROR(ROUNDUP($C$5/VLOOKUP(G13,'Storages Background Info'!$C$2:$K$29,9,FALSE),0),"")</f>
        <v>0</v>
      </c>
      <c r="J13" s="55">
        <f>IFERROR(ROUNDUP(I13*VLOOKUP(G13,'Storages Background Info'!$C$3:$N$29,12,FALSE),2), "")</f>
        <v>0</v>
      </c>
      <c r="K13" s="55">
        <f>IFERROR(ROUNDUP(VLOOKUP(G13,'Storages Background Info'!$C$3:$U$29,13,FALSE)+VLOOKUP(G13,'Storages Background Info'!$C$3:$U$29,15,FALSE)+'User Input'!$E$25, 2), "")</f>
        <v>3.44</v>
      </c>
      <c r="L13" s="55">
        <f>IFERROR(ROUNDUP(VLOOKUP(G13,'Storages Background Info'!$C$3:$U$29,14,FALSE), 2), "")</f>
        <v>9.76</v>
      </c>
      <c r="M13" s="89">
        <f>IFERROR(((VLOOKUP(G13,'Storages Background Info'!$C$2:$R$29,13,FALSE)+VLOOKUP(G13,'Storages Background Info'!$C$2:$R$29,14,FALSE)+'User Input'!$E$25)*VLOOKUP(G13,'Storages Background Info'!$C$2:$R$29,12,FALSE))*I13, "")</f>
        <v>0</v>
      </c>
      <c r="N13" s="55">
        <f>IFERROR(VLOOKUP(G13,'Storages Background Info'!$C$2:$T$30,18, FALSE)*$C$5,"")</f>
        <v>0</v>
      </c>
      <c r="O13" s="89">
        <f>IFERROR(M13*Constants!$B$3, "")</f>
        <v>0</v>
      </c>
      <c r="P13" s="55">
        <f>IFERROR(VLOOKUP(G13,'Storages Background Info'!$C$2:$R$30,16,FALSE)*Constants!$C$3,"")</f>
        <v>1000</v>
      </c>
      <c r="Q13" s="55">
        <f>IFERROR(VLOOKUP(G13,'Storages Background Info'!$C$2:$S$30,17,FALSE)*Constants!$E$3, "")</f>
        <v>1200</v>
      </c>
      <c r="R13" s="89">
        <f t="shared" si="0"/>
        <v>2200</v>
      </c>
      <c r="S13" s="77">
        <f>IFERROR(VLOOKUP(G13, 'Storages Background Info'!$C$3:$U$29,19,FALSE), "")</f>
        <v>45852</v>
      </c>
    </row>
    <row r="14" spans="2:20" x14ac:dyDescent="0.25">
      <c r="E14" t="str">
        <v>Concrete</v>
      </c>
      <c r="F14" s="35" t="str">
        <v>Urban Pond</v>
      </c>
      <c r="G14" s="22" t="str">
        <v>8x16x3 (ft)</v>
      </c>
      <c r="H14" s="81">
        <f>IFERROR(VLOOKUP(G14, 'Storages Background Info'!$C$3:$W$29,21,FALSE), "")</f>
        <v>10</v>
      </c>
      <c r="I14" s="55">
        <f>IFERROR(ROUNDUP($C$5/VLOOKUP(G14,'Storages Background Info'!$C$2:$K$29,9,FALSE),0),"")</f>
        <v>0</v>
      </c>
      <c r="J14" s="55">
        <f>IFERROR(ROUNDUP(I14*VLOOKUP(G14,'Storages Background Info'!$C$3:$N$29,12,FALSE),2), "")</f>
        <v>0</v>
      </c>
      <c r="K14" s="55">
        <f>IFERROR(ROUNDUP(VLOOKUP(G14,'Storages Background Info'!$C$3:$U$29,13,FALSE)+VLOOKUP(G14,'Storages Background Info'!$C$3:$U$29,15,FALSE)+'User Input'!$E$25, 2), "")</f>
        <v>1.67</v>
      </c>
      <c r="L14" s="55">
        <f>IFERROR(ROUNDUP(VLOOKUP(G14,'Storages Background Info'!$C$3:$U$29,14,FALSE), 2), "")</f>
        <v>15</v>
      </c>
      <c r="M14" s="89">
        <f>IFERROR(((VLOOKUP(G14,'Storages Background Info'!$C$2:$R$29,13,FALSE)+VLOOKUP(G14,'Storages Background Info'!$C$2:$R$29,14,FALSE)+'User Input'!$E$25)*VLOOKUP(G14,'Storages Background Info'!$C$2:$R$29,12,FALSE))*I14, "")</f>
        <v>0</v>
      </c>
      <c r="N14" s="55">
        <f>IFERROR(VLOOKUP(G14,'Storages Background Info'!$C$2:$T$30,18, FALSE)*$C$5,"")</f>
        <v>0</v>
      </c>
      <c r="O14" s="89">
        <f>IFERROR(M14*Constants!$B$3, "")</f>
        <v>0</v>
      </c>
      <c r="P14" s="55">
        <f>IFERROR(VLOOKUP(G14,'Storages Background Info'!$C$2:$R$30,16,FALSE)*Constants!$C$3,"")</f>
        <v>1000</v>
      </c>
      <c r="Q14" s="55">
        <f>IFERROR(VLOOKUP(G14,'Storages Background Info'!$C$2:$S$30,17,FALSE)*Constants!$E$3, "")</f>
        <v>1200</v>
      </c>
      <c r="R14" s="89">
        <f t="shared" si="0"/>
        <v>2200</v>
      </c>
      <c r="S14" s="77">
        <f>IFERROR(VLOOKUP(G14, 'Storages Background Info'!$C$3:$U$29,19,FALSE), "")</f>
        <v>45784</v>
      </c>
    </row>
    <row r="15" spans="2:20" x14ac:dyDescent="0.25">
      <c r="E15" t="str">
        <v>Concrete</v>
      </c>
      <c r="F15" s="35" t="str">
        <v>Urban Pond</v>
      </c>
      <c r="G15" s="22" t="str">
        <v>8x16x4 (ft)</v>
      </c>
      <c r="H15" s="81">
        <f>IFERROR(VLOOKUP(G15, 'Storages Background Info'!$C$3:$W$29,21,FALSE), "")</f>
        <v>11</v>
      </c>
      <c r="I15" s="55">
        <f>IFERROR(ROUNDUP($C$5/VLOOKUP(G15,'Storages Background Info'!$C$2:$K$29,9,FALSE),0),"")</f>
        <v>0</v>
      </c>
      <c r="J15" s="55">
        <f>IFERROR(ROUNDUP(I15*VLOOKUP(G15,'Storages Background Info'!$C$3:$N$29,12,FALSE),2), "")</f>
        <v>0</v>
      </c>
      <c r="K15" s="55">
        <f>IFERROR(ROUNDUP(VLOOKUP(G15,'Storages Background Info'!$C$3:$U$29,13,FALSE)+VLOOKUP(G15,'Storages Background Info'!$C$3:$U$29,15,FALSE)+'User Input'!$E$25, 2), "")</f>
        <v>1.97</v>
      </c>
      <c r="L15" s="55">
        <f>IFERROR(ROUNDUP(VLOOKUP(G15,'Storages Background Info'!$C$3:$U$29,14,FALSE), 2), "")</f>
        <v>15</v>
      </c>
      <c r="M15" s="89">
        <f>IFERROR(((VLOOKUP(G15,'Storages Background Info'!$C$2:$R$29,13,FALSE)+VLOOKUP(G15,'Storages Background Info'!$C$2:$R$29,14,FALSE)+'User Input'!$E$25)*VLOOKUP(G15,'Storages Background Info'!$C$2:$R$29,12,FALSE))*I15, "")</f>
        <v>0</v>
      </c>
      <c r="N15" s="55">
        <f>IFERROR(VLOOKUP(G15,'Storages Background Info'!$C$2:$T$30,18, FALSE)*$C$5,"")</f>
        <v>0</v>
      </c>
      <c r="O15" s="89">
        <f>IFERROR(M15*Constants!$B$3, "")</f>
        <v>0</v>
      </c>
      <c r="P15" s="55">
        <f>IFERROR(VLOOKUP(G15,'Storages Background Info'!$C$2:$R$30,16,FALSE)*Constants!$C$3,"")</f>
        <v>1000</v>
      </c>
      <c r="Q15" s="55">
        <f>IFERROR(VLOOKUP(G15,'Storages Background Info'!$C$2:$S$30,17,FALSE)*Constants!$E$3, "")</f>
        <v>1200</v>
      </c>
      <c r="R15" s="89">
        <f t="shared" si="0"/>
        <v>2200</v>
      </c>
      <c r="S15" s="77">
        <f>IFERROR(VLOOKUP(G15, 'Storages Background Info'!$C$3:$U$29,19,FALSE), "")</f>
        <v>45784</v>
      </c>
    </row>
    <row r="16" spans="2:20" x14ac:dyDescent="0.25">
      <c r="E16" t="str">
        <v>Concrete</v>
      </c>
      <c r="F16" s="35" t="str">
        <v>Urban Pond</v>
      </c>
      <c r="G16" s="22" t="str">
        <v>8x16x5 (ft)</v>
      </c>
      <c r="H16" s="81">
        <f>IFERROR(VLOOKUP(G16, 'Storages Background Info'!$C$3:$W$29,21,FALSE), "")</f>
        <v>12</v>
      </c>
      <c r="I16" s="55">
        <f>IFERROR(ROUNDUP($C$5/VLOOKUP(G16,'Storages Background Info'!$C$2:$K$29,9,FALSE),0),"")</f>
        <v>0</v>
      </c>
      <c r="J16" s="55">
        <f>IFERROR(ROUNDUP(I16*VLOOKUP(G16,'Storages Background Info'!$C$3:$N$29,12,FALSE),2), "")</f>
        <v>0</v>
      </c>
      <c r="K16" s="55">
        <f>IFERROR(ROUNDUP(VLOOKUP(G16,'Storages Background Info'!$C$3:$U$29,13,FALSE)+VLOOKUP(G16,'Storages Background Info'!$C$3:$U$29,15,FALSE)+'User Input'!$E$25, 2), "")</f>
        <v>2.2799999999999998</v>
      </c>
      <c r="L16" s="55">
        <f>IFERROR(ROUNDUP(VLOOKUP(G16,'Storages Background Info'!$C$3:$U$29,14,FALSE), 2), "")</f>
        <v>15</v>
      </c>
      <c r="M16" s="89">
        <f>IFERROR(((VLOOKUP(G16,'Storages Background Info'!$C$2:$R$29,13,FALSE)+VLOOKUP(G16,'Storages Background Info'!$C$2:$R$29,14,FALSE)+'User Input'!$E$25)*VLOOKUP(G16,'Storages Background Info'!$C$2:$R$29,12,FALSE))*I16, "")</f>
        <v>0</v>
      </c>
      <c r="N16" s="55">
        <f>IFERROR(VLOOKUP(G16,'Storages Background Info'!$C$2:$T$30,18, FALSE)*$C$5,"")</f>
        <v>0</v>
      </c>
      <c r="O16" s="89">
        <f>IFERROR(M16*Constants!$B$3, "")</f>
        <v>0</v>
      </c>
      <c r="P16" s="55">
        <f>IFERROR(VLOOKUP(G16,'Storages Background Info'!$C$2:$R$30,16,FALSE)*Constants!$C$3,"")</f>
        <v>1000</v>
      </c>
      <c r="Q16" s="55">
        <f>IFERROR(VLOOKUP(G16,'Storages Background Info'!$C$2:$S$30,17,FALSE)*Constants!$E$3, "")</f>
        <v>1200</v>
      </c>
      <c r="R16" s="89">
        <f t="shared" si="0"/>
        <v>2200</v>
      </c>
      <c r="S16" s="77">
        <f>IFERROR(VLOOKUP(G16, 'Storages Background Info'!$C$3:$U$29,19,FALSE), "")</f>
        <v>45784</v>
      </c>
    </row>
    <row r="17" spans="5:21" x14ac:dyDescent="0.25">
      <c r="E17" t="str">
        <v>Concrete</v>
      </c>
      <c r="F17" s="36" t="str">
        <v>Urban Pond</v>
      </c>
      <c r="G17" s="37" t="str">
        <v>8x16x6 (ft)</v>
      </c>
      <c r="H17" s="90">
        <f>IFERROR(VLOOKUP(G17, 'Storages Background Info'!$C$3:$W$29,21,FALSE), "")</f>
        <v>13</v>
      </c>
      <c r="I17" s="38">
        <f>IFERROR(ROUNDUP($C$5/VLOOKUP(G17,'Storages Background Info'!$C$2:$K$29,9,FALSE),0),"")</f>
        <v>0</v>
      </c>
      <c r="J17" s="38">
        <f>IFERROR(ROUNDUP(I17*VLOOKUP(G17,'Storages Background Info'!$C$3:$N$29,12,FALSE),2), "")</f>
        <v>0</v>
      </c>
      <c r="K17" s="38">
        <f>IFERROR(ROUNDUP(VLOOKUP(G17,'Storages Background Info'!$C$3:$U$29,13,FALSE)+VLOOKUP(G17,'Storages Background Info'!$C$3:$U$29,15,FALSE)+'User Input'!$E$25, 2), "")</f>
        <v>2.5799999999999996</v>
      </c>
      <c r="L17" s="38">
        <f>IFERROR(ROUNDUP(VLOOKUP(G17,'Storages Background Info'!$C$3:$U$29,14,FALSE), 2), "")</f>
        <v>15</v>
      </c>
      <c r="M17" s="39">
        <f>IFERROR(((VLOOKUP(G17,'Storages Background Info'!$C$2:$R$29,13,FALSE)+VLOOKUP(G17,'Storages Background Info'!$C$2:$R$29,14,FALSE)+'User Input'!$E$25)*VLOOKUP(G17,'Storages Background Info'!$C$2:$R$29,12,FALSE))*I17, "")</f>
        <v>0</v>
      </c>
      <c r="N17" s="38">
        <f>IFERROR(VLOOKUP(G17,'Storages Background Info'!$C$2:$T$30,18, FALSE)*$C$5,"")</f>
        <v>0</v>
      </c>
      <c r="O17" s="39">
        <f>IFERROR(M17*Constants!$B$3, "")</f>
        <v>0</v>
      </c>
      <c r="P17" s="38">
        <f>IFERROR(VLOOKUP(G17,'Storages Background Info'!$C$2:$R$30,16,FALSE)*Constants!$C$3,"")</f>
        <v>1000</v>
      </c>
      <c r="Q17" s="38">
        <f>IFERROR(VLOOKUP(G17,'Storages Background Info'!$C$2:$S$30,17,FALSE)*Constants!$E$3, "")</f>
        <v>1200</v>
      </c>
      <c r="R17" s="39">
        <f t="shared" si="0"/>
        <v>2200</v>
      </c>
      <c r="S17" s="78">
        <f>IFERROR(VLOOKUP(G17, 'Storages Background Info'!$C$3:$U$29,19,FALSE), "")</f>
        <v>45784</v>
      </c>
    </row>
    <row r="18" spans="5:21" x14ac:dyDescent="0.25">
      <c r="F18" s="35"/>
      <c r="G18" s="22"/>
      <c r="H18" s="40"/>
      <c r="I18" s="41"/>
      <c r="J18" s="41"/>
      <c r="K18" s="63" t="str">
        <f>IFERROR(ROUNDUP(VLOOKUP(G18,'Storages Background Info'!$C$3:$U$29,13,FALSE)+VLOOKUP(G18,'Storages Background Info'!$C$3:$U$29,15,FALSE)+'User Input'!$E$25, 2), "")</f>
        <v/>
      </c>
      <c r="L18" s="42" t="str">
        <f>IFERROR(ROUNDUP(VLOOKUP(G18,'Storages Background Info'!$C$3:$U$29,14,FALSE), 2), "")</f>
        <v/>
      </c>
      <c r="M18" s="91" t="s">
        <v>186</v>
      </c>
      <c r="N18" s="70">
        <f>IFERROR(AVERAGE(N5:N17), "")</f>
        <v>0</v>
      </c>
      <c r="O18" s="71">
        <f t="shared" ref="O18:R18" si="1">IFERROR(AVERAGE(O5:O17), "")</f>
        <v>0</v>
      </c>
      <c r="P18" s="71">
        <f t="shared" si="1"/>
        <v>1000</v>
      </c>
      <c r="Q18" s="71">
        <f t="shared" si="1"/>
        <v>1200</v>
      </c>
      <c r="R18" s="72">
        <f t="shared" si="1"/>
        <v>2200</v>
      </c>
      <c r="S18" s="92"/>
    </row>
    <row r="19" spans="5:21" x14ac:dyDescent="0.25">
      <c r="F19" s="35"/>
      <c r="G19" s="22"/>
      <c r="H19" s="35"/>
      <c r="I19" s="22"/>
      <c r="J19" s="22"/>
      <c r="K19" s="55" t="str">
        <f>IFERROR(ROUNDUP(VLOOKUP(G19,'Storages Background Info'!$C$3:$U$29,13,FALSE)+VLOOKUP(G19,'Storages Background Info'!$C$3:$U$29,15,FALSE)+'User Input'!$E$25, 2), "")</f>
        <v/>
      </c>
      <c r="L19" s="55" t="str">
        <f>IFERROR(ROUNDUP(VLOOKUP(G19,'Storages Background Info'!$C$3:$U$29,14,FALSE), 2), "")</f>
        <v/>
      </c>
      <c r="M19" s="69" t="s">
        <v>225</v>
      </c>
      <c r="N19" s="70">
        <f>MAX(N5:N17)</f>
        <v>0</v>
      </c>
      <c r="O19" s="71">
        <f t="shared" ref="O19:Q19" si="2">MAX(O5:O17)</f>
        <v>0</v>
      </c>
      <c r="P19" s="71">
        <f t="shared" si="2"/>
        <v>1000</v>
      </c>
      <c r="Q19" s="71">
        <f t="shared" si="2"/>
        <v>1200</v>
      </c>
      <c r="R19" s="72">
        <f>SUM(N19:Q19)</f>
        <v>2200</v>
      </c>
      <c r="S19" s="93"/>
    </row>
    <row r="20" spans="5:21" x14ac:dyDescent="0.25">
      <c r="F20" s="35"/>
      <c r="G20" s="22"/>
      <c r="H20" s="35"/>
      <c r="I20" s="22"/>
      <c r="J20" s="22"/>
      <c r="K20" s="22"/>
      <c r="L20" s="22"/>
      <c r="M20" s="69" t="s">
        <v>226</v>
      </c>
      <c r="N20" s="70">
        <f>MIN(N5:N17)</f>
        <v>0</v>
      </c>
      <c r="O20" s="71">
        <f t="shared" ref="O20:Q20" si="3">MIN(O5:O17)</f>
        <v>0</v>
      </c>
      <c r="P20" s="71">
        <f t="shared" si="3"/>
        <v>1000</v>
      </c>
      <c r="Q20" s="71">
        <f t="shared" si="3"/>
        <v>1200</v>
      </c>
      <c r="R20" s="72">
        <f>SUM(N20:Q20)</f>
        <v>2200</v>
      </c>
      <c r="S20" s="94"/>
    </row>
    <row r="21" spans="5:21" hidden="1" x14ac:dyDescent="0.25">
      <c r="F21" s="35"/>
      <c r="G21" s="22"/>
      <c r="H21" s="36"/>
      <c r="I21" s="37"/>
      <c r="J21" s="37"/>
      <c r="K21" s="37"/>
      <c r="L21" s="37"/>
      <c r="M21" s="37"/>
      <c r="N21" s="37"/>
      <c r="O21" s="37"/>
      <c r="P21" s="37"/>
      <c r="Q21" s="37"/>
      <c r="R21" s="46"/>
    </row>
    <row r="22" spans="5:21" ht="23.25" x14ac:dyDescent="0.35">
      <c r="F22" s="86"/>
      <c r="G22" s="87"/>
      <c r="H22" s="145" t="s">
        <v>189</v>
      </c>
      <c r="I22" s="146"/>
      <c r="J22" s="146"/>
      <c r="K22" s="146"/>
      <c r="L22" s="146"/>
      <c r="M22" s="146"/>
      <c r="N22" s="146"/>
      <c r="O22" s="146"/>
      <c r="P22" s="146"/>
      <c r="Q22" s="146"/>
      <c r="R22" s="146"/>
      <c r="S22" s="147"/>
    </row>
    <row r="23" spans="5:21" x14ac:dyDescent="0.25">
      <c r="E23" s="22"/>
      <c r="F23" s="33" t="s">
        <v>132</v>
      </c>
      <c r="G23" s="83" t="s">
        <v>181</v>
      </c>
      <c r="H23" s="95" t="s">
        <v>247</v>
      </c>
      <c r="I23" s="33" t="s">
        <v>140</v>
      </c>
      <c r="J23" s="22"/>
      <c r="K23" s="22"/>
      <c r="L23" s="41"/>
      <c r="M23" s="41"/>
      <c r="N23" s="41"/>
      <c r="O23" s="41"/>
      <c r="P23" s="41"/>
      <c r="Q23" s="41"/>
      <c r="R23" s="41"/>
      <c r="S23" s="54"/>
    </row>
    <row r="24" spans="5:21" x14ac:dyDescent="0.25">
      <c r="E24" s="22" t="str" cm="1">
        <f t="array" ref="E24:G24">_xlfn._xlws.FILTER('Flow Control Background Info'!$A$2:$C$7,'Flow Control Background Info'!$A$2:$A$7='Cost Breakdown'!$C$7,"")</f>
        <v>Orifice</v>
      </c>
      <c r="F24" s="40" t="str">
        <v>ACO</v>
      </c>
      <c r="G24" s="41" t="str">
        <v>Q-Plate</v>
      </c>
      <c r="H24" s="81">
        <f>IFERROR(VLOOKUP(G24,'Flow Control Background Info'!$C$2:$E$7,3,FALSE), "")</f>
        <v>1</v>
      </c>
      <c r="I24" s="42">
        <f>IFERROR(VLOOKUP(G24,'Flow Control Background Info'!$C$2:$D$7,2,FALSE), "")</f>
        <v>450</v>
      </c>
      <c r="J24" s="22"/>
      <c r="K24" s="22"/>
      <c r="L24" s="22"/>
      <c r="M24" s="22"/>
      <c r="N24" s="22"/>
      <c r="O24" s="22"/>
      <c r="P24" s="22"/>
      <c r="Q24" s="22"/>
      <c r="R24" s="22"/>
      <c r="S24" s="45"/>
    </row>
    <row r="25" spans="5:21" x14ac:dyDescent="0.25">
      <c r="E25" s="22"/>
      <c r="F25" s="35"/>
      <c r="G25" s="22"/>
      <c r="H25" s="81" t="str">
        <f>IFERROR(VLOOKUP(G25,'Flow Control Background Info'!$C$2:$E$7,3,FALSE), "")</f>
        <v/>
      </c>
      <c r="I25" s="43" t="str">
        <f>IFERROR(VLOOKUP(G25,'Flow Control Background Info'!$C$2:$D$7,2,FALSE), "")</f>
        <v/>
      </c>
      <c r="J25" s="22"/>
      <c r="K25" s="22"/>
      <c r="L25" s="22"/>
      <c r="M25" s="22"/>
      <c r="N25" s="22"/>
      <c r="O25" s="22"/>
      <c r="P25" s="22"/>
      <c r="Q25" s="22"/>
      <c r="R25" s="22"/>
      <c r="S25" s="45"/>
    </row>
    <row r="26" spans="5:21" x14ac:dyDescent="0.25">
      <c r="E26" s="22"/>
      <c r="F26" s="35"/>
      <c r="G26" s="22"/>
      <c r="H26" s="81" t="str">
        <f>IFERROR(VLOOKUP(G26,'Flow Control Background Info'!$C$2:$E$7,3,FALSE), "")</f>
        <v/>
      </c>
      <c r="I26" s="43" t="str">
        <f>IFERROR(VLOOKUP(G26,'Flow Control Background Info'!$C$2:$D$7,2,FALSE), "")</f>
        <v/>
      </c>
      <c r="J26" s="22"/>
      <c r="K26" s="22"/>
      <c r="L26" s="22"/>
      <c r="M26" s="22"/>
      <c r="N26" s="22"/>
      <c r="O26" s="22"/>
      <c r="P26" s="22"/>
      <c r="Q26" s="22"/>
      <c r="R26" s="22"/>
      <c r="S26" s="45"/>
      <c r="U26" s="49"/>
    </row>
    <row r="27" spans="5:21" x14ac:dyDescent="0.25">
      <c r="E27" s="22"/>
      <c r="F27" s="36"/>
      <c r="G27" s="37"/>
      <c r="H27" s="81" t="str">
        <f>IFERROR(VLOOKUP(G27,'Flow Control Background Info'!$C$2:$E$7,3,FALSE), "")</f>
        <v/>
      </c>
      <c r="I27" s="44" t="str">
        <f>IFERROR(VLOOKUP(G27,'Flow Control Background Info'!$C$2:$D$7,2,FALSE), "")</f>
        <v/>
      </c>
      <c r="J27" s="22"/>
      <c r="K27" s="22"/>
      <c r="L27" s="22"/>
      <c r="M27" s="22"/>
      <c r="N27" s="22"/>
      <c r="O27" s="22"/>
      <c r="P27" s="22"/>
      <c r="Q27" s="22"/>
      <c r="R27" s="22"/>
      <c r="S27" s="45"/>
    </row>
    <row r="28" spans="5:21" x14ac:dyDescent="0.25">
      <c r="E28" s="22"/>
      <c r="F28" s="35"/>
      <c r="G28" s="82" t="s">
        <v>186</v>
      </c>
      <c r="H28" s="96"/>
      <c r="I28" s="34">
        <f>IFERROR(AVERAGEIF(I24:I27,"&lt;&gt;0"), "")</f>
        <v>450</v>
      </c>
      <c r="J28" s="22"/>
      <c r="K28" s="22"/>
      <c r="L28" s="22"/>
      <c r="M28" s="22"/>
      <c r="N28" s="22"/>
      <c r="O28" s="22"/>
      <c r="P28" s="22"/>
      <c r="Q28" s="22"/>
      <c r="R28" s="22"/>
      <c r="S28" s="45"/>
    </row>
    <row r="29" spans="5:21" x14ac:dyDescent="0.25">
      <c r="F29" s="36"/>
      <c r="G29" s="37"/>
      <c r="H29" s="36"/>
      <c r="I29" s="37"/>
      <c r="J29" s="37"/>
      <c r="K29" s="37"/>
      <c r="L29" s="37"/>
      <c r="M29" s="37"/>
      <c r="N29" s="37"/>
      <c r="O29" s="37"/>
      <c r="P29" s="37"/>
      <c r="Q29" s="37"/>
      <c r="R29" s="37"/>
      <c r="S29" s="46"/>
    </row>
  </sheetData>
  <sheetProtection algorithmName="SHA-512" hashValue="m/1hEacFFhEPdBiog6WMtZg/JneUqvTQmPWyfyu/vollTrAA8AFINFGsrTbkzW0Lm2/zdeTj2NfN3MpLwEjnxA==" saltValue="A2iEDuIdQ3Q9gm0XFbgrvA==" spinCount="100000" sheet="1" objects="1" scenarios="1"/>
  <mergeCells count="6">
    <mergeCell ref="N3:R3"/>
    <mergeCell ref="H22:S22"/>
    <mergeCell ref="H2:S2"/>
    <mergeCell ref="H3:M3"/>
    <mergeCell ref="B4:C4"/>
    <mergeCell ref="S3: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F290E-91DF-4189-9BA8-D8AC933BB9B2}">
  <dimension ref="A1:P19"/>
  <sheetViews>
    <sheetView workbookViewId="0">
      <selection activeCell="H5" sqref="H5"/>
    </sheetView>
  </sheetViews>
  <sheetFormatPr defaultRowHeight="15" x14ac:dyDescent="0.25"/>
  <cols>
    <col min="2" max="2" width="28.85546875" bestFit="1" customWidth="1"/>
    <col min="3" max="3" width="9.140625" style="16"/>
    <col min="5" max="5" width="17.28515625" bestFit="1" customWidth="1"/>
    <col min="6" max="7" width="19.5703125" bestFit="1" customWidth="1"/>
    <col min="8" max="8" width="19" bestFit="1" customWidth="1"/>
    <col min="9" max="9" width="22.85546875" bestFit="1" customWidth="1"/>
    <col min="10" max="10" width="24" bestFit="1" customWidth="1"/>
    <col min="11" max="11" width="12.140625" bestFit="1" customWidth="1"/>
    <col min="12" max="12" width="14.85546875" bestFit="1" customWidth="1"/>
    <col min="13" max="13" width="18.5703125" bestFit="1" customWidth="1"/>
    <col min="14" max="14" width="11.28515625" bestFit="1" customWidth="1"/>
    <col min="15" max="15" width="16" bestFit="1" customWidth="1"/>
  </cols>
  <sheetData>
    <row r="1" spans="1:16" x14ac:dyDescent="0.25">
      <c r="E1" s="16" t="s">
        <v>152</v>
      </c>
      <c r="F1" s="16" t="s">
        <v>132</v>
      </c>
      <c r="G1" s="16" t="s">
        <v>133</v>
      </c>
      <c r="H1" s="16" t="s">
        <v>134</v>
      </c>
      <c r="I1" s="16" t="s">
        <v>136</v>
      </c>
      <c r="J1" s="16" t="s">
        <v>138</v>
      </c>
      <c r="K1" s="16" t="s">
        <v>140</v>
      </c>
      <c r="L1" s="16" t="s">
        <v>141</v>
      </c>
      <c r="M1" s="16" t="s">
        <v>143</v>
      </c>
      <c r="N1" s="16" t="s">
        <v>149</v>
      </c>
      <c r="O1" s="16" t="s">
        <v>147</v>
      </c>
      <c r="P1" s="16" t="s">
        <v>151</v>
      </c>
    </row>
    <row r="2" spans="1:16" x14ac:dyDescent="0.25">
      <c r="A2" t="s">
        <v>93</v>
      </c>
      <c r="B2" t="s">
        <v>135</v>
      </c>
      <c r="C2" s="16">
        <v>30</v>
      </c>
      <c r="E2" t="str" cm="1">
        <f t="array" ref="E2:G14">_xlfn._xlws.FILTER('Storages Background Info'!A3:C29,'Storages Background Info'!A3:A29=C3,"")</f>
        <v>Concrete</v>
      </c>
      <c r="F2" t="str">
        <v>Storm Capture</v>
      </c>
      <c r="G2" t="str">
        <v>7x15x2 (ft)</v>
      </c>
      <c r="H2">
        <f>IFERROR(ROUNDUP($C$2/VLOOKUP('Cost Estimate'!G2,'Storages Background Info'!$C$2:$K$29,9,FALSE),0),"")</f>
        <v>6</v>
      </c>
      <c r="I2" s="15">
        <f>IFERROR(ROUNDUP(H2*VLOOKUP(G2,'Storages Background Info'!$C$3:$N$29,12,FALSE),2), "")</f>
        <v>58.53</v>
      </c>
      <c r="J2" s="15">
        <f>IFERROR(((VLOOKUP(G2,'Storages Background Info'!$C$2:$R$29,13,FALSE)+VLOOKUP(G2,'Storages Background Info'!$C$2:$R$29,14,FALSE))*VLOOKUP(G2,'Storages Background Info'!$C$2:$R$29,12,FALSE))*H2, "")</f>
        <v>840.45181070592002</v>
      </c>
      <c r="K2">
        <f>IFERROR(VLOOKUP(G2,'Storages Background Info'!$C$2:$T$30,17, FALSE)*'Cost Estimate'!$C$2,"")</f>
        <v>360</v>
      </c>
      <c r="L2" s="15">
        <f>IFERROR(J2*Constants!$B$3, "")</f>
        <v>21011.295267648002</v>
      </c>
      <c r="M2">
        <f>IFERROR(VLOOKUP(G2,'Storages Background Info'!$C$2:$R$30,15,FALSE)*Constants!$C$3,"")</f>
        <v>300</v>
      </c>
      <c r="N2">
        <f>IFERROR(VLOOKUP(G2,'Storages Background Info'!$C$2:$S$30,16,FALSE)*Constants!$E$3, "")</f>
        <v>200</v>
      </c>
      <c r="O2" s="15">
        <f>SUM(K2:N2)*Constants!$D$3</f>
        <v>2187.1295267648002</v>
      </c>
      <c r="P2">
        <f>SUM(K2:O2)</f>
        <v>24058.4247944128</v>
      </c>
    </row>
    <row r="3" spans="1:16" x14ac:dyDescent="0.25">
      <c r="A3" t="s">
        <v>94</v>
      </c>
      <c r="B3" t="s">
        <v>95</v>
      </c>
      <c r="C3" s="16" t="s">
        <v>57</v>
      </c>
      <c r="E3" t="str">
        <v>Concrete</v>
      </c>
      <c r="F3" t="str">
        <v>Storm Capture</v>
      </c>
      <c r="G3" t="str">
        <v>7x15x4 (ft)</v>
      </c>
      <c r="H3">
        <f>IFERROR(ROUNDUP($C$2/VLOOKUP('Cost Estimate'!G3,'Storages Background Info'!$C$2:$K$29,9,FALSE),0),"")</f>
        <v>3</v>
      </c>
      <c r="I3" s="15">
        <f>IFERROR(ROUNDUP(H3*VLOOKUP(G3,'Storages Background Info'!$C$3:$N$29,12,FALSE),2), "")</f>
        <v>29.270000000000003</v>
      </c>
      <c r="J3" s="15">
        <f>IFERROR(((VLOOKUP(G3,'Storages Background Info'!$C$2:$R$29,13,FALSE)+VLOOKUP(G3,'Storages Background Info'!$C$2:$R$29,14,FALSE))*VLOOKUP(G3,'Storages Background Info'!$C$2:$R$29,12,FALSE))*H3, "")</f>
        <v>438.06551870592006</v>
      </c>
      <c r="K3">
        <f>IFERROR(VLOOKUP(G3,'Storages Background Info'!$C$2:$T$30,17, FALSE)*'Cost Estimate'!$C$2,"")</f>
        <v>360</v>
      </c>
      <c r="L3" s="15">
        <f>IFERROR(J3*Constants!$B$3, "")</f>
        <v>10951.637967648001</v>
      </c>
      <c r="M3">
        <f>IFERROR(VLOOKUP(G3,'Storages Background Info'!$C$2:$R$30,15,FALSE)*Constants!$C$3,"")</f>
        <v>300</v>
      </c>
      <c r="N3">
        <f>IFERROR(VLOOKUP(G3,'Storages Background Info'!$C$2:$S$30,16,FALSE)*Constants!$E$3, "")</f>
        <v>200</v>
      </c>
      <c r="O3" s="15">
        <f>SUM(K3:N3)*Constants!$D$3</f>
        <v>1181.1637967648001</v>
      </c>
      <c r="P3">
        <f t="shared" ref="P3:P14" si="0">SUM(K3:O3)</f>
        <v>12992.801764412801</v>
      </c>
    </row>
    <row r="4" spans="1:16" x14ac:dyDescent="0.25">
      <c r="E4" t="str">
        <v>Concrete</v>
      </c>
      <c r="F4" t="str">
        <v>Storm Capture</v>
      </c>
      <c r="G4" t="str">
        <v>7x15x6 (ft)</v>
      </c>
      <c r="H4">
        <f>IFERROR(ROUNDUP($C$2/VLOOKUP('Cost Estimate'!G4,'Storages Background Info'!$C$2:$K$29,9,FALSE),0),"")</f>
        <v>2</v>
      </c>
      <c r="I4" s="15">
        <f>IFERROR(ROUNDUP(H4*VLOOKUP(G4,'Storages Background Info'!$C$3:$N$29,12,FALSE),2), "")</f>
        <v>19.510000000000002</v>
      </c>
      <c r="J4" s="15">
        <f>IFERROR(((VLOOKUP(G4,'Storages Background Info'!$C$2:$R$29,13,FALSE)+VLOOKUP(G4,'Storages Background Info'!$C$2:$R$29,14,FALSE))*VLOOKUP(G4,'Storages Background Info'!$C$2:$R$29,12,FALSE))*H4, "")</f>
        <v>303.93675470592001</v>
      </c>
      <c r="K4">
        <f>IFERROR(VLOOKUP(G4,'Storages Background Info'!$C$2:$T$30,17, FALSE)*'Cost Estimate'!$C$2,"")</f>
        <v>360</v>
      </c>
      <c r="L4" s="15">
        <f>IFERROR(J4*Constants!$B$3, "")</f>
        <v>7598.4188676479998</v>
      </c>
      <c r="M4">
        <f>IFERROR(VLOOKUP(G4,'Storages Background Info'!$C$2:$R$30,15,FALSE)*Constants!$C$3,"")</f>
        <v>300</v>
      </c>
      <c r="N4">
        <f>IFERROR(VLOOKUP(G4,'Storages Background Info'!$C$2:$S$30,16,FALSE)*Constants!$E$3, "")</f>
        <v>200</v>
      </c>
      <c r="O4" s="15">
        <f>SUM(K4:N4)*Constants!$D$3</f>
        <v>845.84188676480017</v>
      </c>
      <c r="P4">
        <f t="shared" si="0"/>
        <v>9304.2607544128005</v>
      </c>
    </row>
    <row r="5" spans="1:16" x14ac:dyDescent="0.25">
      <c r="E5" t="str">
        <v>Concrete</v>
      </c>
      <c r="F5" t="str">
        <v>Storm Capture</v>
      </c>
      <c r="G5" t="str">
        <v>7x15x8 (ft)</v>
      </c>
      <c r="H5">
        <f>IFERROR(ROUNDUP($C$2/VLOOKUP('Cost Estimate'!G5,'Storages Background Info'!$C$2:$K$29,9,FALSE),0),"")</f>
        <v>2</v>
      </c>
      <c r="I5" s="15">
        <f>IFERROR(ROUNDUP(H5*VLOOKUP(G5,'Storages Background Info'!$C$3:$N$29,12,FALSE),2), "")</f>
        <v>19.510000000000002</v>
      </c>
      <c r="J5" s="15">
        <f>IFERROR(((VLOOKUP(G5,'Storages Background Info'!$C$2:$R$29,13,FALSE)+VLOOKUP(G5,'Storages Background Info'!$C$2:$R$29,14,FALSE))*VLOOKUP(G5,'Storages Background Info'!$C$2:$R$29,12,FALSE))*H5, "")</f>
        <v>315.82983027456004</v>
      </c>
      <c r="K5">
        <f>IFERROR(VLOOKUP(G5,'Storages Background Info'!$C$2:$T$30,17, FALSE)*'Cost Estimate'!$C$2,"")</f>
        <v>360</v>
      </c>
      <c r="L5" s="15">
        <f>IFERROR(J5*Constants!$B$3, "")</f>
        <v>7895.7457568640011</v>
      </c>
      <c r="M5">
        <f>IFERROR(VLOOKUP(G5,'Storages Background Info'!$C$2:$R$30,15,FALSE)*Constants!$C$3,"")</f>
        <v>300</v>
      </c>
      <c r="N5">
        <f>IFERROR(VLOOKUP(G5,'Storages Background Info'!$C$2:$S$30,16,FALSE)*Constants!$E$3, "")</f>
        <v>200</v>
      </c>
      <c r="O5" s="15">
        <f>SUM(K5:N5)*Constants!$D$3</f>
        <v>875.57457568640029</v>
      </c>
      <c r="P5">
        <f t="shared" si="0"/>
        <v>9631.3203325504019</v>
      </c>
    </row>
    <row r="6" spans="1:16" x14ac:dyDescent="0.25">
      <c r="E6" t="str">
        <v>Concrete</v>
      </c>
      <c r="F6" t="str">
        <v>Storm Trap</v>
      </c>
      <c r="G6" t="str">
        <v>1200x900 (mm)</v>
      </c>
      <c r="H6">
        <f>IFERROR(ROUNDUP($C$2/VLOOKUP('Cost Estimate'!G6,'Storages Background Info'!$C$2:$K$29,9,FALSE),0),"")</f>
        <v>15</v>
      </c>
      <c r="I6" s="15">
        <f>IFERROR(ROUNDUP(H6*VLOOKUP(G6,'Storages Background Info'!$C$3:$N$29,12,FALSE),2), "")</f>
        <v>16.2</v>
      </c>
      <c r="J6" s="15">
        <f>IFERROR(((VLOOKUP(G6,'Storages Background Info'!$C$2:$R$29,13,FALSE)+VLOOKUP(G6,'Storages Background Info'!$C$2:$R$29,14,FALSE))*VLOOKUP(G6,'Storages Background Info'!$C$2:$R$29,12,FALSE))*H6, "")</f>
        <v>100.44000000000001</v>
      </c>
      <c r="K6">
        <f>IFERROR(VLOOKUP(G6,'Storages Background Info'!$C$2:$T$30,17, FALSE)*'Cost Estimate'!$C$2,"")</f>
        <v>360</v>
      </c>
      <c r="L6" s="15">
        <f>IFERROR(J6*Constants!$B$3, "")</f>
        <v>2511.0000000000005</v>
      </c>
      <c r="M6">
        <f>IFERROR(VLOOKUP(G6,'Storages Background Info'!$C$2:$R$30,15,FALSE)*Constants!$C$3,"")</f>
        <v>500</v>
      </c>
      <c r="N6">
        <f>IFERROR(VLOOKUP(G6,'Storages Background Info'!$C$2:$S$30,16,FALSE)*Constants!$E$3, "")</f>
        <v>200</v>
      </c>
      <c r="O6" s="15">
        <f>SUM(K6:N6)*Constants!$D$3</f>
        <v>357.10000000000008</v>
      </c>
      <c r="P6">
        <f t="shared" si="0"/>
        <v>3928.1000000000004</v>
      </c>
    </row>
    <row r="7" spans="1:16" x14ac:dyDescent="0.25">
      <c r="E7" t="str">
        <v>Concrete</v>
      </c>
      <c r="F7" t="str">
        <v>Storm Trap</v>
      </c>
      <c r="G7" t="str">
        <v>1800x1200 (mm)</v>
      </c>
      <c r="H7">
        <f>IFERROR(ROUNDUP($C$2/VLOOKUP('Cost Estimate'!G7,'Storages Background Info'!$C$2:$K$29,9,FALSE),0),"")</f>
        <v>8</v>
      </c>
      <c r="I7" s="15">
        <f>IFERROR(ROUNDUP(H7*VLOOKUP(G7,'Storages Background Info'!$C$3:$N$29,12,FALSE),2), "")</f>
        <v>17.28</v>
      </c>
      <c r="J7" s="15">
        <f>IFERROR(((VLOOKUP(G7,'Storages Background Info'!$C$2:$R$29,13,FALSE)+VLOOKUP(G7,'Storages Background Info'!$C$2:$R$29,14,FALSE))*VLOOKUP(G7,'Storages Background Info'!$C$2:$R$29,12,FALSE))*H7, "")</f>
        <v>138.24</v>
      </c>
      <c r="K7">
        <f>IFERROR(VLOOKUP(G7,'Storages Background Info'!$C$2:$T$30,17, FALSE)*'Cost Estimate'!$C$2,"")</f>
        <v>360</v>
      </c>
      <c r="L7" s="15">
        <f>IFERROR(J7*Constants!$B$3, "")</f>
        <v>3456</v>
      </c>
      <c r="M7">
        <f>IFERROR(VLOOKUP(G7,'Storages Background Info'!$C$2:$R$30,15,FALSE)*Constants!$C$3,"")</f>
        <v>500</v>
      </c>
      <c r="N7">
        <f>IFERROR(VLOOKUP(G7,'Storages Background Info'!$C$2:$S$30,16,FALSE)*Constants!$E$3, "")</f>
        <v>200</v>
      </c>
      <c r="O7" s="15">
        <f>SUM(K7:N7)*Constants!$D$3</f>
        <v>451.6</v>
      </c>
      <c r="P7">
        <f t="shared" si="0"/>
        <v>4967.6000000000004</v>
      </c>
    </row>
    <row r="8" spans="1:16" x14ac:dyDescent="0.25">
      <c r="E8" t="str">
        <v>Concrete</v>
      </c>
      <c r="F8" t="str">
        <v>Storm Trap</v>
      </c>
      <c r="G8" t="str">
        <v>2400x1200 (mm)</v>
      </c>
      <c r="H8">
        <f>IFERROR(ROUNDUP($C$2/VLOOKUP('Cost Estimate'!G8,'Storages Background Info'!$C$2:$K$29,9,FALSE),0),"")</f>
        <v>6</v>
      </c>
      <c r="I8" s="15">
        <f>IFERROR(ROUNDUP(H8*VLOOKUP(G8,'Storages Background Info'!$C$3:$N$29,12,FALSE),2), "")</f>
        <v>17.28</v>
      </c>
      <c r="J8" s="15">
        <f>IFERROR(((VLOOKUP(G8,'Storages Background Info'!$C$2:$R$29,13,FALSE)+VLOOKUP(G8,'Storages Background Info'!$C$2:$R$29,14,FALSE))*VLOOKUP(G8,'Storages Background Info'!$C$2:$R$29,12,FALSE))*H8, "")</f>
        <v>158.976</v>
      </c>
      <c r="K8">
        <f>IFERROR(VLOOKUP(G8,'Storages Background Info'!$C$2:$T$30,17, FALSE)*'Cost Estimate'!$C$2,"")</f>
        <v>360</v>
      </c>
      <c r="L8" s="15">
        <f>IFERROR(J8*Constants!$B$3, "")</f>
        <v>3974.4</v>
      </c>
      <c r="M8">
        <f>IFERROR(VLOOKUP(G8,'Storages Background Info'!$C$2:$R$30,15,FALSE)*Constants!$C$3,"")</f>
        <v>500</v>
      </c>
      <c r="N8">
        <f>IFERROR(VLOOKUP(G8,'Storages Background Info'!$C$2:$S$30,16,FALSE)*Constants!$E$3, "")</f>
        <v>200</v>
      </c>
      <c r="O8" s="15">
        <f>SUM(K8:N8)*Constants!$D$3</f>
        <v>503.44</v>
      </c>
      <c r="P8">
        <f t="shared" si="0"/>
        <v>5537.8399999999992</v>
      </c>
    </row>
    <row r="9" spans="1:16" x14ac:dyDescent="0.25">
      <c r="E9" t="str">
        <v>Concrete</v>
      </c>
      <c r="F9" t="str">
        <v>Storm Trap</v>
      </c>
      <c r="G9" t="str">
        <v>2400x1800 (mm)</v>
      </c>
      <c r="H9">
        <f>IFERROR(ROUNDUP($C$2/VLOOKUP('Cost Estimate'!G9,'Storages Background Info'!$C$2:$K$29,9,FALSE),0),"")</f>
        <v>4</v>
      </c>
      <c r="I9" s="15">
        <f>IFERROR(ROUNDUP(H9*VLOOKUP(G9,'Storages Background Info'!$C$3:$N$29,12,FALSE),2), "")</f>
        <v>17.28</v>
      </c>
      <c r="J9" s="15">
        <f>IFERROR(((VLOOKUP(G9,'Storages Background Info'!$C$2:$R$29,13,FALSE)+VLOOKUP(G9,'Storages Background Info'!$C$2:$R$29,14,FALSE))*VLOOKUP(G9,'Storages Background Info'!$C$2:$R$29,12,FALSE))*H9, "")</f>
        <v>179.71200000000002</v>
      </c>
      <c r="K9">
        <f>IFERROR(VLOOKUP(G9,'Storages Background Info'!$C$2:$T$30,17, FALSE)*'Cost Estimate'!$C$2,"")</f>
        <v>360</v>
      </c>
      <c r="L9" s="15">
        <f>IFERROR(J9*Constants!$B$3, "")</f>
        <v>4492.8</v>
      </c>
      <c r="M9">
        <f>IFERROR(VLOOKUP(G9,'Storages Background Info'!$C$2:$R$30,15,FALSE)*Constants!$C$3,"")</f>
        <v>500</v>
      </c>
      <c r="N9">
        <f>IFERROR(VLOOKUP(G9,'Storages Background Info'!$C$2:$S$30,16,FALSE)*Constants!$E$3, "")</f>
        <v>200</v>
      </c>
      <c r="O9" s="15">
        <f>SUM(K9:N9)*Constants!$D$3</f>
        <v>555.28000000000009</v>
      </c>
      <c r="P9">
        <f t="shared" si="0"/>
        <v>6108.08</v>
      </c>
    </row>
    <row r="10" spans="1:16" x14ac:dyDescent="0.25">
      <c r="E10" t="str">
        <v>Concrete</v>
      </c>
      <c r="F10" t="str">
        <v>Storm Trap</v>
      </c>
      <c r="G10" t="str">
        <v>2440x2400 (mm)</v>
      </c>
      <c r="H10">
        <f>IFERROR(ROUNDUP($C$2/VLOOKUP('Cost Estimate'!G10,'Storages Background Info'!$C$2:$K$29,9,FALSE),0),"")</f>
        <v>3</v>
      </c>
      <c r="I10" s="15">
        <f>IFERROR(ROUNDUP(H10*VLOOKUP(G10,'Storages Background Info'!$C$3:$N$29,12,FALSE),2), "")</f>
        <v>17.87</v>
      </c>
      <c r="J10" s="15">
        <f>IFERROR(((VLOOKUP(G10,'Storages Background Info'!$C$2:$R$29,13,FALSE)+VLOOKUP(G10,'Storages Background Info'!$C$2:$R$29,14,FALSE))*VLOOKUP(G10,'Storages Background Info'!$C$2:$R$29,12,FALSE))*H10, "")</f>
        <v>217.90175999999997</v>
      </c>
      <c r="K10">
        <f>IFERROR(VLOOKUP(G10,'Storages Background Info'!$C$2:$T$30,17, FALSE)*'Cost Estimate'!$C$2,"")</f>
        <v>360</v>
      </c>
      <c r="L10" s="15">
        <f>IFERROR(J10*Constants!$B$3, "")</f>
        <v>5447.543999999999</v>
      </c>
      <c r="M10">
        <f>IFERROR(VLOOKUP(G10,'Storages Background Info'!$C$2:$R$30,15,FALSE)*Constants!$C$3,"")</f>
        <v>500</v>
      </c>
      <c r="N10">
        <f>IFERROR(VLOOKUP(G10,'Storages Background Info'!$C$2:$S$30,16,FALSE)*Constants!$E$3, "")</f>
        <v>200</v>
      </c>
      <c r="O10" s="15">
        <f>SUM(K10:N10)*Constants!$D$3</f>
        <v>650.75439999999992</v>
      </c>
      <c r="P10">
        <f t="shared" si="0"/>
        <v>7158.2983999999988</v>
      </c>
    </row>
    <row r="11" spans="1:16" x14ac:dyDescent="0.25">
      <c r="E11" t="str">
        <v>Concrete</v>
      </c>
      <c r="F11" t="str">
        <v>Urban Pond</v>
      </c>
      <c r="G11" t="str">
        <v>8x16x3 (ft)</v>
      </c>
      <c r="H11">
        <f>IFERROR(ROUNDUP($C$2/VLOOKUP('Cost Estimate'!G11,'Storages Background Info'!$C$2:$K$29,9,FALSE),0),"")</f>
        <v>3</v>
      </c>
      <c r="I11" s="15">
        <f>IFERROR(ROUNDUP(H11*VLOOKUP(G11,'Storages Background Info'!$C$3:$N$29,12,FALSE),2), "")</f>
        <v>35.68</v>
      </c>
      <c r="J11" s="15">
        <f>IFERROR(((VLOOKUP(G11,'Storages Background Info'!$C$2:$R$29,13,FALSE)+VLOOKUP(G11,'Storages Background Info'!$C$2:$R$29,14,FALSE))*VLOOKUP(G11,'Storages Background Info'!$C$2:$R$29,12,FALSE))*H11, "")</f>
        <v>567.74251767398403</v>
      </c>
      <c r="K11">
        <f>IFERROR(VLOOKUP(G11,'Storages Background Info'!$C$2:$T$30,17, FALSE)*'Cost Estimate'!$C$2,"")</f>
        <v>360</v>
      </c>
      <c r="L11" s="15">
        <f>IFERROR(J11*Constants!$B$3, "")</f>
        <v>14193.562941849601</v>
      </c>
      <c r="M11">
        <f>IFERROR(VLOOKUP(G11,'Storages Background Info'!$C$2:$R$30,15,FALSE)*Constants!$C$3,"")</f>
        <v>375</v>
      </c>
      <c r="N11">
        <f>IFERROR(VLOOKUP(G11,'Storages Background Info'!$C$2:$S$30,16,FALSE)*Constants!$E$3, "")</f>
        <v>200</v>
      </c>
      <c r="O11" s="15">
        <f>SUM(K11:N11)*Constants!$D$3</f>
        <v>1512.8562941849602</v>
      </c>
      <c r="P11">
        <f t="shared" si="0"/>
        <v>16641.419236034562</v>
      </c>
    </row>
    <row r="12" spans="1:16" x14ac:dyDescent="0.25">
      <c r="E12" t="str">
        <v>Concrete</v>
      </c>
      <c r="F12" t="str">
        <v>Urban Pond</v>
      </c>
      <c r="G12" t="str">
        <v>8x16x4 (ft)</v>
      </c>
      <c r="H12">
        <f>IFERROR(ROUNDUP($C$2/VLOOKUP('Cost Estimate'!G12,'Storages Background Info'!$C$2:$K$29,9,FALSE),0),"")</f>
        <v>3</v>
      </c>
      <c r="I12" s="15">
        <f>IFERROR(ROUNDUP(H12*VLOOKUP(G12,'Storages Background Info'!$C$3:$N$29,12,FALSE),2), "")</f>
        <v>35.68</v>
      </c>
      <c r="J12" s="15">
        <f>IFERROR(((VLOOKUP(G12,'Storages Background Info'!$C$2:$R$29,13,FALSE)+VLOOKUP(G12,'Storages Background Info'!$C$2:$R$29,14,FALSE))*VLOOKUP(G12,'Storages Background Info'!$C$2:$R$29,12,FALSE))*H12, "")</f>
        <v>578.61618676531202</v>
      </c>
      <c r="K12">
        <f>IFERROR(VLOOKUP(G12,'Storages Background Info'!$C$2:$T$30,17, FALSE)*'Cost Estimate'!$C$2,"")</f>
        <v>360</v>
      </c>
      <c r="L12" s="15">
        <f>IFERROR(J12*Constants!$B$3, "")</f>
        <v>14465.4046691328</v>
      </c>
      <c r="M12">
        <f>IFERROR(VLOOKUP(G12,'Storages Background Info'!$C$2:$R$30,15,FALSE)*Constants!$C$3,"")</f>
        <v>375</v>
      </c>
      <c r="N12">
        <f>IFERROR(VLOOKUP(G12,'Storages Background Info'!$C$2:$S$30,16,FALSE)*Constants!$E$3, "")</f>
        <v>200</v>
      </c>
      <c r="O12" s="15">
        <f>SUM(K12:N12)*Constants!$D$3</f>
        <v>1540.0404669132802</v>
      </c>
      <c r="P12">
        <f t="shared" si="0"/>
        <v>16940.445136046081</v>
      </c>
    </row>
    <row r="13" spans="1:16" x14ac:dyDescent="0.25">
      <c r="E13" t="str">
        <v>Concrete</v>
      </c>
      <c r="F13" t="str">
        <v>Urban Pond</v>
      </c>
      <c r="G13" t="str">
        <v>8x16x5 (ft)</v>
      </c>
      <c r="H13">
        <f>IFERROR(ROUNDUP($C$2/VLOOKUP('Cost Estimate'!G13,'Storages Background Info'!$C$2:$K$29,9,FALSE),0),"")</f>
        <v>2</v>
      </c>
      <c r="I13" s="15">
        <f>IFERROR(ROUNDUP(H13*VLOOKUP(G13,'Storages Background Info'!$C$3:$N$29,12,FALSE),2), "")</f>
        <v>23.790000000000003</v>
      </c>
      <c r="J13" s="15">
        <f>IFERROR(((VLOOKUP(G13,'Storages Background Info'!$C$2:$R$29,13,FALSE)+VLOOKUP(G13,'Storages Background Info'!$C$2:$R$29,14,FALSE))*VLOOKUP(G13,'Storages Background Info'!$C$2:$R$29,12,FALSE))*H13, "")</f>
        <v>392.99323723776007</v>
      </c>
      <c r="K13">
        <f>IFERROR(VLOOKUP(G13,'Storages Background Info'!$C$2:$T$30,17, FALSE)*'Cost Estimate'!$C$2,"")</f>
        <v>360</v>
      </c>
      <c r="L13" s="15">
        <f>IFERROR(J13*Constants!$B$3, "")</f>
        <v>9824.830930944001</v>
      </c>
      <c r="M13">
        <f>IFERROR(VLOOKUP(G13,'Storages Background Info'!$C$2:$R$30,15,FALSE)*Constants!$C$3,"")</f>
        <v>375</v>
      </c>
      <c r="N13">
        <f>IFERROR(VLOOKUP(G13,'Storages Background Info'!$C$2:$S$30,16,FALSE)*Constants!$E$3, "")</f>
        <v>200</v>
      </c>
      <c r="O13" s="15">
        <f>SUM(K13:N13)*Constants!$D$3</f>
        <v>1075.9830930944001</v>
      </c>
      <c r="P13">
        <f t="shared" si="0"/>
        <v>11835.814024038402</v>
      </c>
    </row>
    <row r="14" spans="1:16" x14ac:dyDescent="0.25">
      <c r="E14" t="str">
        <v>Concrete</v>
      </c>
      <c r="F14" t="str">
        <v>Urban Pond</v>
      </c>
      <c r="G14" t="str">
        <v>8x16x6 (ft)</v>
      </c>
      <c r="H14">
        <f>IFERROR(ROUNDUP($C$2/VLOOKUP('Cost Estimate'!G14,'Storages Background Info'!$C$2:$K$29,9,FALSE),0),"")</f>
        <v>2</v>
      </c>
      <c r="I14" s="15">
        <f>IFERROR(ROUNDUP(H14*VLOOKUP(G14,'Storages Background Info'!$C$3:$N$29,12,FALSE),2), "")</f>
        <v>23.790000000000003</v>
      </c>
      <c r="J14" s="15">
        <f>IFERROR(((VLOOKUP(G14,'Storages Background Info'!$C$2:$R$29,13,FALSE)+VLOOKUP(G14,'Storages Background Info'!$C$2:$R$29,14,FALSE))*VLOOKUP(G14,'Storages Background Info'!$C$2:$R$29,12,FALSE))*H14, "")</f>
        <v>400.24234996531203</v>
      </c>
      <c r="K14">
        <f>IFERROR(VLOOKUP(G14,'Storages Background Info'!$C$2:$T$30,17, FALSE)*'Cost Estimate'!$C$2,"")</f>
        <v>360</v>
      </c>
      <c r="L14" s="15">
        <f>IFERROR(J14*Constants!$B$3, "")</f>
        <v>10006.058749132801</v>
      </c>
      <c r="M14">
        <f>IFERROR(VLOOKUP(G14,'Storages Background Info'!$C$2:$R$30,15,FALSE)*Constants!$C$3,"")</f>
        <v>375</v>
      </c>
      <c r="N14">
        <f>IFERROR(VLOOKUP(G14,'Storages Background Info'!$C$2:$S$30,16,FALSE)*Constants!$E$3, "")</f>
        <v>200</v>
      </c>
      <c r="O14" s="15">
        <f>SUM(K14:N14)*Constants!$D$3</f>
        <v>1094.1058749132801</v>
      </c>
      <c r="P14">
        <f t="shared" si="0"/>
        <v>12035.164624046081</v>
      </c>
    </row>
    <row r="15" spans="1:16" x14ac:dyDescent="0.25">
      <c r="I15" s="15"/>
    </row>
    <row r="16" spans="1:16" x14ac:dyDescent="0.25">
      <c r="I16" s="15"/>
    </row>
    <row r="17" spans="9:9" x14ac:dyDescent="0.25">
      <c r="I17" s="15"/>
    </row>
    <row r="18" spans="9:9" x14ac:dyDescent="0.25">
      <c r="I18" s="15"/>
    </row>
    <row r="19" spans="9:9" x14ac:dyDescent="0.25">
      <c r="I19" s="15"/>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61A3FA9-B455-491B-B684-A32C037A093F}">
          <x14:formula1>
            <xm:f>Constants!$A$3:$A$8</xm:f>
          </x14:formula1>
          <xm:sqref>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
  <sheetViews>
    <sheetView workbookViewId="0">
      <selection activeCell="N23" sqref="N23"/>
    </sheetView>
  </sheetViews>
  <sheetFormatPr defaultRowHeight="15" x14ac:dyDescent="0.25"/>
  <cols>
    <col min="1" max="1" width="3.28515625" customWidth="1"/>
    <col min="7" max="7" width="3.28515625" customWidth="1"/>
  </cols>
  <sheetData>
    <row r="1" spans="1:14" ht="18.75" x14ac:dyDescent="0.3">
      <c r="A1" s="2" t="s">
        <v>0</v>
      </c>
      <c r="C1" s="2" t="s">
        <v>1</v>
      </c>
      <c r="G1" s="2" t="s">
        <v>10</v>
      </c>
      <c r="N1" s="1" t="s">
        <v>45</v>
      </c>
    </row>
    <row r="2" spans="1:14" x14ac:dyDescent="0.25">
      <c r="A2" t="s">
        <v>2</v>
      </c>
      <c r="C2" t="s">
        <v>9</v>
      </c>
      <c r="G2" t="s">
        <v>11</v>
      </c>
      <c r="N2" t="str">
        <f>"- What product depth should be assumed?"</f>
        <v>- What product depth should be assumed?</v>
      </c>
    </row>
    <row r="3" spans="1:14" x14ac:dyDescent="0.25">
      <c r="A3" t="s">
        <v>3</v>
      </c>
      <c r="C3" t="s">
        <v>4</v>
      </c>
    </row>
    <row r="4" spans="1:14" x14ac:dyDescent="0.25">
      <c r="C4" t="s">
        <v>35</v>
      </c>
    </row>
    <row r="5" spans="1:14" x14ac:dyDescent="0.25">
      <c r="C5" t="s">
        <v>6</v>
      </c>
    </row>
    <row r="6" spans="1:14" x14ac:dyDescent="0.25">
      <c r="C6" t="s">
        <v>7</v>
      </c>
    </row>
    <row r="7" spans="1:14" x14ac:dyDescent="0.25">
      <c r="C7" t="s">
        <v>8</v>
      </c>
    </row>
    <row r="9" spans="1:14" ht="18.75" x14ac:dyDescent="0.3">
      <c r="A9" s="3" t="s">
        <v>2</v>
      </c>
      <c r="G9" s="3" t="s">
        <v>23</v>
      </c>
    </row>
    <row r="10" spans="1:14" ht="15.75" x14ac:dyDescent="0.25">
      <c r="A10" s="4" t="s">
        <v>12</v>
      </c>
      <c r="G10" s="4" t="s">
        <v>12</v>
      </c>
    </row>
    <row r="11" spans="1:14" x14ac:dyDescent="0.25">
      <c r="B11" s="1" t="s">
        <v>13</v>
      </c>
      <c r="H11" s="1" t="s">
        <v>24</v>
      </c>
    </row>
    <row r="12" spans="1:14" x14ac:dyDescent="0.25">
      <c r="B12" s="151" t="s">
        <v>14</v>
      </c>
      <c r="C12" s="151"/>
      <c r="D12" s="151"/>
      <c r="E12" s="151"/>
      <c r="H12" s="151" t="s">
        <v>26</v>
      </c>
      <c r="I12" s="151"/>
      <c r="J12" s="151"/>
      <c r="K12" s="151"/>
    </row>
    <row r="13" spans="1:14" x14ac:dyDescent="0.25">
      <c r="B13" s="151"/>
      <c r="C13" s="151"/>
      <c r="D13" s="151"/>
      <c r="E13" s="151"/>
      <c r="H13" s="151"/>
      <c r="I13" s="151"/>
      <c r="J13" s="151"/>
      <c r="K13" s="151"/>
    </row>
    <row r="14" spans="1:14" ht="6.75" customHeight="1" x14ac:dyDescent="0.25"/>
    <row r="15" spans="1:14" x14ac:dyDescent="0.25">
      <c r="B15" s="1" t="s">
        <v>15</v>
      </c>
      <c r="H15" s="1" t="s">
        <v>25</v>
      </c>
    </row>
    <row r="16" spans="1:14" x14ac:dyDescent="0.25">
      <c r="B16" s="151" t="s">
        <v>16</v>
      </c>
      <c r="C16" s="151"/>
      <c r="D16" s="151"/>
      <c r="E16" s="151"/>
      <c r="H16" s="151" t="s">
        <v>27</v>
      </c>
      <c r="I16" s="151"/>
      <c r="J16" s="151"/>
      <c r="K16" s="151"/>
    </row>
    <row r="17" spans="1:11" x14ac:dyDescent="0.25">
      <c r="B17" s="151"/>
      <c r="C17" s="151"/>
      <c r="D17" s="151"/>
      <c r="E17" s="151"/>
      <c r="H17" s="151"/>
      <c r="I17" s="151"/>
      <c r="J17" s="151"/>
      <c r="K17" s="151"/>
    </row>
    <row r="18" spans="1:11" ht="6.75" customHeight="1" x14ac:dyDescent="0.25"/>
    <row r="19" spans="1:11" x14ac:dyDescent="0.25">
      <c r="H19" s="1" t="s">
        <v>5</v>
      </c>
    </row>
    <row r="20" spans="1:11" ht="18.75" x14ac:dyDescent="0.3">
      <c r="A20" s="3" t="s">
        <v>3</v>
      </c>
      <c r="H20" s="151" t="s">
        <v>28</v>
      </c>
      <c r="I20" s="151"/>
      <c r="J20" s="151"/>
      <c r="K20" s="151"/>
    </row>
    <row r="21" spans="1:11" ht="15.75" x14ac:dyDescent="0.25">
      <c r="A21" s="4" t="s">
        <v>12</v>
      </c>
      <c r="H21" s="151"/>
      <c r="I21" s="151"/>
      <c r="J21" s="151"/>
      <c r="K21" s="151"/>
    </row>
    <row r="22" spans="1:11" x14ac:dyDescent="0.25">
      <c r="B22" s="1" t="s">
        <v>17</v>
      </c>
    </row>
    <row r="23" spans="1:11" ht="18.75" x14ac:dyDescent="0.3">
      <c r="B23" s="151" t="s">
        <v>18</v>
      </c>
      <c r="C23" s="151"/>
      <c r="D23" s="151"/>
      <c r="E23" s="151"/>
      <c r="G23" s="3" t="s">
        <v>4</v>
      </c>
    </row>
    <row r="24" spans="1:11" ht="15.75" x14ac:dyDescent="0.25">
      <c r="B24" s="151"/>
      <c r="C24" s="151"/>
      <c r="D24" s="151"/>
      <c r="E24" s="151"/>
      <c r="G24" s="4" t="s">
        <v>12</v>
      </c>
    </row>
    <row r="25" spans="1:11" ht="6.75" customHeight="1" x14ac:dyDescent="0.25"/>
    <row r="26" spans="1:11" x14ac:dyDescent="0.25">
      <c r="B26" s="1" t="s">
        <v>19</v>
      </c>
      <c r="H26" s="1" t="s">
        <v>29</v>
      </c>
    </row>
    <row r="27" spans="1:11" x14ac:dyDescent="0.25">
      <c r="B27" s="151" t="s">
        <v>20</v>
      </c>
      <c r="C27" s="151"/>
      <c r="D27" s="151"/>
      <c r="E27" s="151"/>
      <c r="H27" s="151" t="s">
        <v>30</v>
      </c>
      <c r="I27" s="151"/>
      <c r="J27" s="151"/>
      <c r="K27" s="151"/>
    </row>
    <row r="28" spans="1:11" x14ac:dyDescent="0.25">
      <c r="B28" s="151"/>
      <c r="C28" s="151"/>
      <c r="D28" s="151"/>
      <c r="E28" s="151"/>
      <c r="H28" s="151"/>
      <c r="I28" s="151"/>
      <c r="J28" s="151"/>
      <c r="K28" s="151"/>
    </row>
    <row r="29" spans="1:11" ht="6.75" customHeight="1" x14ac:dyDescent="0.25"/>
    <row r="30" spans="1:11" x14ac:dyDescent="0.25">
      <c r="B30" s="1" t="s">
        <v>21</v>
      </c>
      <c r="H30" s="1" t="s">
        <v>31</v>
      </c>
    </row>
    <row r="31" spans="1:11" x14ac:dyDescent="0.25">
      <c r="B31" s="151" t="s">
        <v>22</v>
      </c>
      <c r="C31" s="151"/>
      <c r="D31" s="151"/>
      <c r="E31" s="151"/>
      <c r="H31" s="151" t="s">
        <v>32</v>
      </c>
      <c r="I31" s="151"/>
      <c r="J31" s="151"/>
      <c r="K31" s="151"/>
    </row>
    <row r="32" spans="1:11" x14ac:dyDescent="0.25">
      <c r="B32" s="151"/>
      <c r="C32" s="151"/>
      <c r="D32" s="151"/>
      <c r="E32" s="151"/>
      <c r="H32" s="151"/>
      <c r="I32" s="151"/>
      <c r="J32" s="151"/>
      <c r="K32" s="151"/>
    </row>
    <row r="33" spans="7:11" ht="6.75" customHeight="1" x14ac:dyDescent="0.25"/>
    <row r="34" spans="7:11" x14ac:dyDescent="0.25">
      <c r="H34" s="1" t="s">
        <v>33</v>
      </c>
    </row>
    <row r="35" spans="7:11" x14ac:dyDescent="0.25">
      <c r="H35" s="151" t="s">
        <v>34</v>
      </c>
      <c r="I35" s="151"/>
      <c r="J35" s="151"/>
      <c r="K35" s="151"/>
    </row>
    <row r="36" spans="7:11" x14ac:dyDescent="0.25">
      <c r="H36" s="151"/>
      <c r="I36" s="151"/>
      <c r="J36" s="151"/>
      <c r="K36" s="151"/>
    </row>
    <row r="37" spans="7:11" ht="6.75" customHeight="1" x14ac:dyDescent="0.25"/>
    <row r="39" spans="7:11" ht="18.75" x14ac:dyDescent="0.3">
      <c r="G39" s="3" t="s">
        <v>5</v>
      </c>
    </row>
    <row r="40" spans="7:11" ht="15.75" x14ac:dyDescent="0.25">
      <c r="G40" s="4" t="s">
        <v>12</v>
      </c>
    </row>
    <row r="41" spans="7:11" x14ac:dyDescent="0.25">
      <c r="H41" s="1" t="s">
        <v>46</v>
      </c>
    </row>
    <row r="42" spans="7:11" x14ac:dyDescent="0.25">
      <c r="H42" s="151" t="s">
        <v>36</v>
      </c>
      <c r="I42" s="151"/>
      <c r="J42" s="151"/>
      <c r="K42" s="151"/>
    </row>
    <row r="43" spans="7:11" x14ac:dyDescent="0.25">
      <c r="H43" s="151"/>
      <c r="I43" s="151"/>
      <c r="J43" s="151"/>
      <c r="K43" s="151"/>
    </row>
    <row r="44" spans="7:11" ht="6.75" customHeight="1" x14ac:dyDescent="0.25"/>
    <row r="46" spans="7:11" ht="18.75" x14ac:dyDescent="0.3">
      <c r="G46" s="3" t="s">
        <v>6</v>
      </c>
    </row>
    <row r="47" spans="7:11" ht="15.75" x14ac:dyDescent="0.25">
      <c r="G47" s="4" t="s">
        <v>12</v>
      </c>
    </row>
    <row r="48" spans="7:11" x14ac:dyDescent="0.25">
      <c r="H48" s="1" t="s">
        <v>2</v>
      </c>
    </row>
    <row r="49" spans="7:11" x14ac:dyDescent="0.25">
      <c r="H49" s="151" t="s">
        <v>37</v>
      </c>
      <c r="I49" s="151"/>
      <c r="J49" s="151"/>
      <c r="K49" s="151"/>
    </row>
    <row r="50" spans="7:11" x14ac:dyDescent="0.25">
      <c r="H50" s="151"/>
      <c r="I50" s="151"/>
      <c r="J50" s="151"/>
      <c r="K50" s="151"/>
    </row>
    <row r="51" spans="7:11" ht="6.75" customHeight="1" x14ac:dyDescent="0.25"/>
    <row r="52" spans="7:11" x14ac:dyDescent="0.25">
      <c r="H52" s="1" t="s">
        <v>24</v>
      </c>
    </row>
    <row r="53" spans="7:11" x14ac:dyDescent="0.25">
      <c r="H53" s="151" t="s">
        <v>38</v>
      </c>
      <c r="I53" s="151"/>
      <c r="J53" s="151"/>
      <c r="K53" s="151"/>
    </row>
    <row r="54" spans="7:11" x14ac:dyDescent="0.25">
      <c r="H54" s="151"/>
      <c r="I54" s="151"/>
      <c r="J54" s="151"/>
      <c r="K54" s="151"/>
    </row>
    <row r="55" spans="7:11" ht="6.75" customHeight="1" x14ac:dyDescent="0.25"/>
    <row r="57" spans="7:11" ht="18.75" x14ac:dyDescent="0.3">
      <c r="G57" s="3" t="s">
        <v>7</v>
      </c>
    </row>
    <row r="58" spans="7:11" ht="15.75" x14ac:dyDescent="0.25">
      <c r="G58" s="4" t="s">
        <v>12</v>
      </c>
    </row>
    <row r="59" spans="7:11" x14ac:dyDescent="0.25">
      <c r="H59" s="1" t="s">
        <v>39</v>
      </c>
    </row>
    <row r="60" spans="7:11" x14ac:dyDescent="0.25">
      <c r="H60" s="151" t="s">
        <v>40</v>
      </c>
      <c r="I60" s="151"/>
      <c r="J60" s="151"/>
      <c r="K60" s="151"/>
    </row>
    <row r="61" spans="7:11" x14ac:dyDescent="0.25">
      <c r="H61" s="151"/>
      <c r="I61" s="151"/>
      <c r="J61" s="151"/>
      <c r="K61" s="151"/>
    </row>
    <row r="62" spans="7:11" ht="6.75" customHeight="1" x14ac:dyDescent="0.25"/>
    <row r="63" spans="7:11" x14ac:dyDescent="0.25">
      <c r="H63" s="1" t="s">
        <v>41</v>
      </c>
    </row>
    <row r="64" spans="7:11" x14ac:dyDescent="0.25">
      <c r="H64" s="151" t="s">
        <v>42</v>
      </c>
      <c r="I64" s="151"/>
      <c r="J64" s="151"/>
      <c r="K64" s="151"/>
    </row>
    <row r="65" spans="7:11" x14ac:dyDescent="0.25">
      <c r="H65" s="151"/>
      <c r="I65" s="151"/>
      <c r="J65" s="151"/>
      <c r="K65" s="151"/>
    </row>
    <row r="66" spans="7:11" ht="6.75" customHeight="1" x14ac:dyDescent="0.25"/>
    <row r="67" spans="7:11" x14ac:dyDescent="0.25">
      <c r="H67" s="1" t="s">
        <v>43</v>
      </c>
    </row>
    <row r="68" spans="7:11" x14ac:dyDescent="0.25">
      <c r="H68" s="151" t="s">
        <v>44</v>
      </c>
      <c r="I68" s="151"/>
      <c r="J68" s="151"/>
      <c r="K68" s="151"/>
    </row>
    <row r="69" spans="7:11" x14ac:dyDescent="0.25">
      <c r="H69" s="151"/>
      <c r="I69" s="151"/>
      <c r="J69" s="151"/>
      <c r="K69" s="151"/>
    </row>
    <row r="70" spans="7:11" ht="6.75" customHeight="1" x14ac:dyDescent="0.25"/>
    <row r="72" spans="7:11" ht="15" customHeight="1" x14ac:dyDescent="0.3">
      <c r="G72" s="3"/>
    </row>
    <row r="73" spans="7:11" ht="15.75" x14ac:dyDescent="0.25">
      <c r="G73" s="4"/>
    </row>
  </sheetData>
  <mergeCells count="17">
    <mergeCell ref="H68:K69"/>
    <mergeCell ref="H35:K36"/>
    <mergeCell ref="H42:K43"/>
    <mergeCell ref="H49:K50"/>
    <mergeCell ref="H53:K54"/>
    <mergeCell ref="H60:K61"/>
    <mergeCell ref="H64:K65"/>
    <mergeCell ref="B12:E13"/>
    <mergeCell ref="B16:E17"/>
    <mergeCell ref="B23:E24"/>
    <mergeCell ref="B27:E28"/>
    <mergeCell ref="B31:E32"/>
    <mergeCell ref="H12:K13"/>
    <mergeCell ref="H16:K17"/>
    <mergeCell ref="H20:K21"/>
    <mergeCell ref="H27:K28"/>
    <mergeCell ref="H31:K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9C11D-1D30-4B8E-8370-9663600A1400}">
  <dimension ref="A1:P34"/>
  <sheetViews>
    <sheetView workbookViewId="0">
      <selection activeCell="C20" sqref="C20"/>
    </sheetView>
  </sheetViews>
  <sheetFormatPr defaultRowHeight="15" x14ac:dyDescent="0.25"/>
  <cols>
    <col min="1" max="1" width="15.5703125" bestFit="1" customWidth="1"/>
    <col min="2" max="2" width="12" bestFit="1" customWidth="1"/>
    <col min="5" max="6" width="15.5703125" bestFit="1" customWidth="1"/>
    <col min="7" max="7" width="12" bestFit="1" customWidth="1"/>
    <col min="9" max="10" width="15.5703125" bestFit="1" customWidth="1"/>
    <col min="13" max="14" width="15.5703125" bestFit="1" customWidth="1"/>
  </cols>
  <sheetData>
    <row r="1" spans="1:16" x14ac:dyDescent="0.25">
      <c r="A1" s="152">
        <v>0.05</v>
      </c>
      <c r="B1" s="153"/>
      <c r="C1" s="153"/>
      <c r="D1" s="154"/>
      <c r="E1" s="152">
        <v>0.08</v>
      </c>
      <c r="F1" s="153"/>
      <c r="G1" s="153"/>
      <c r="H1" s="154"/>
      <c r="I1" s="152">
        <v>0.1</v>
      </c>
      <c r="J1" s="153"/>
      <c r="K1" s="153"/>
      <c r="L1" s="154"/>
      <c r="M1" s="152">
        <v>0.2</v>
      </c>
      <c r="N1" s="153"/>
      <c r="O1" s="153"/>
      <c r="P1" s="154"/>
    </row>
    <row r="2" spans="1:16" x14ac:dyDescent="0.25">
      <c r="A2" s="6"/>
      <c r="D2" s="5"/>
      <c r="E2" s="6"/>
      <c r="H2" s="5"/>
      <c r="I2" s="6"/>
      <c r="L2" s="5"/>
      <c r="M2" s="6"/>
      <c r="P2" s="5"/>
    </row>
    <row r="3" spans="1:16" x14ac:dyDescent="0.25">
      <c r="A3" s="6" t="s">
        <v>47</v>
      </c>
      <c r="B3">
        <v>50</v>
      </c>
      <c r="D3" s="5"/>
      <c r="E3" s="6" t="s">
        <v>47</v>
      </c>
      <c r="F3">
        <v>50</v>
      </c>
      <c r="H3" s="5"/>
      <c r="I3" s="6" t="s">
        <v>47</v>
      </c>
      <c r="J3">
        <v>50</v>
      </c>
      <c r="L3" s="5"/>
      <c r="M3" s="6" t="s">
        <v>47</v>
      </c>
      <c r="N3">
        <v>50</v>
      </c>
      <c r="P3" s="5"/>
    </row>
    <row r="4" spans="1:16" x14ac:dyDescent="0.25">
      <c r="A4" s="6" t="s">
        <v>48</v>
      </c>
      <c r="B4">
        <v>0.8</v>
      </c>
      <c r="D4" s="5"/>
      <c r="E4" s="6" t="s">
        <v>48</v>
      </c>
      <c r="F4">
        <v>0.8</v>
      </c>
      <c r="H4" s="5"/>
      <c r="I4" s="6" t="s">
        <v>48</v>
      </c>
      <c r="J4">
        <v>0.8</v>
      </c>
      <c r="L4" s="5"/>
      <c r="M4" s="6" t="s">
        <v>48</v>
      </c>
      <c r="N4">
        <v>0.8</v>
      </c>
      <c r="P4" s="5"/>
    </row>
    <row r="5" spans="1:16" x14ac:dyDescent="0.25">
      <c r="A5" s="6"/>
      <c r="D5" s="5"/>
      <c r="E5" s="6"/>
      <c r="H5" s="5"/>
      <c r="I5" s="6"/>
      <c r="L5" s="5"/>
      <c r="M5" s="6"/>
      <c r="P5" s="5"/>
    </row>
    <row r="6" spans="1:16" x14ac:dyDescent="0.25">
      <c r="A6" s="6"/>
      <c r="B6" t="s">
        <v>54</v>
      </c>
      <c r="C6" t="s">
        <v>48</v>
      </c>
      <c r="D6" s="5">
        <f>SUMPRODUCT(B7:B11,C7:C11)/B12</f>
        <v>0.79999940777028522</v>
      </c>
      <c r="E6" s="6"/>
      <c r="F6" t="s">
        <v>54</v>
      </c>
      <c r="G6" t="s">
        <v>48</v>
      </c>
      <c r="H6" s="5">
        <f>SUMPRODUCT(F7:F11,G7:G11)/F12</f>
        <v>0.79999944828502878</v>
      </c>
      <c r="I6" s="6"/>
      <c r="J6" t="s">
        <v>54</v>
      </c>
      <c r="K6" t="s">
        <v>48</v>
      </c>
      <c r="L6" s="5">
        <f>SUMPRODUCT(J7:J11,K7:K11)/J12</f>
        <v>0.7999999353325995</v>
      </c>
      <c r="M6" s="6"/>
      <c r="N6" t="s">
        <v>54</v>
      </c>
      <c r="O6" t="s">
        <v>48</v>
      </c>
      <c r="P6" s="5">
        <f>SUMPRODUCT(N7:N11,O7:O11)/N12</f>
        <v>0.80000000615904621</v>
      </c>
    </row>
    <row r="7" spans="1:16" x14ac:dyDescent="0.25">
      <c r="A7" s="6" t="s">
        <v>49</v>
      </c>
      <c r="B7">
        <v>261.99179276437843</v>
      </c>
      <c r="C7">
        <v>1</v>
      </c>
      <c r="D7" s="5"/>
      <c r="E7" s="6" t="s">
        <v>49</v>
      </c>
      <c r="F7">
        <v>455.42012783623335</v>
      </c>
      <c r="G7">
        <v>1</v>
      </c>
      <c r="H7" s="5"/>
      <c r="I7" s="6" t="s">
        <v>49</v>
      </c>
      <c r="J7">
        <v>591.7362253858098</v>
      </c>
      <c r="K7">
        <v>1</v>
      </c>
      <c r="L7" s="5"/>
      <c r="M7" s="6" t="s">
        <v>49</v>
      </c>
      <c r="N7">
        <v>1225.2217978097156</v>
      </c>
      <c r="O7">
        <v>1</v>
      </c>
      <c r="P7" s="5"/>
    </row>
    <row r="8" spans="1:16" x14ac:dyDescent="0.25">
      <c r="A8" s="6" t="s">
        <v>50</v>
      </c>
      <c r="B8">
        <v>104.40312964590242</v>
      </c>
      <c r="C8">
        <v>0.9</v>
      </c>
      <c r="D8" s="5"/>
      <c r="E8" s="6" t="s">
        <v>50</v>
      </c>
      <c r="F8">
        <v>127.42090284296212</v>
      </c>
      <c r="G8">
        <v>0.9</v>
      </c>
      <c r="H8" s="5"/>
      <c r="I8" s="6" t="s">
        <v>50</v>
      </c>
      <c r="J8">
        <v>134.71853107576922</v>
      </c>
      <c r="K8">
        <v>0.9</v>
      </c>
      <c r="L8" s="5"/>
      <c r="M8" s="6" t="s">
        <v>50</v>
      </c>
      <c r="N8">
        <v>218.99192900197235</v>
      </c>
      <c r="O8">
        <v>0.9</v>
      </c>
      <c r="P8" s="5"/>
    </row>
    <row r="9" spans="1:16" x14ac:dyDescent="0.25">
      <c r="A9" s="6" t="s">
        <v>51</v>
      </c>
      <c r="B9">
        <v>51.583426593919441</v>
      </c>
      <c r="C9">
        <v>0.5</v>
      </c>
      <c r="D9" s="5"/>
      <c r="E9" s="6" t="s">
        <v>51</v>
      </c>
      <c r="F9">
        <v>79.678302278112639</v>
      </c>
      <c r="G9">
        <v>0.5</v>
      </c>
      <c r="H9" s="5"/>
      <c r="I9" s="6" t="s">
        <v>51</v>
      </c>
      <c r="J9">
        <v>99.077178351387388</v>
      </c>
      <c r="K9">
        <v>0.5</v>
      </c>
      <c r="L9" s="5"/>
      <c r="M9" s="6" t="s">
        <v>51</v>
      </c>
      <c r="N9">
        <v>218.99192900197659</v>
      </c>
      <c r="O9">
        <v>0.5</v>
      </c>
      <c r="P9" s="5"/>
    </row>
    <row r="10" spans="1:16" x14ac:dyDescent="0.25">
      <c r="A10" s="6" t="s">
        <v>52</v>
      </c>
      <c r="B10">
        <v>39.669368855609484</v>
      </c>
      <c r="C10">
        <v>0.3</v>
      </c>
      <c r="D10" s="5"/>
      <c r="E10" s="6" t="s">
        <v>52</v>
      </c>
      <c r="F10">
        <v>62.931280251063654</v>
      </c>
      <c r="G10">
        <v>0.3</v>
      </c>
      <c r="H10" s="5"/>
      <c r="I10" s="6" t="s">
        <v>52</v>
      </c>
      <c r="J10">
        <v>75.391686834145204</v>
      </c>
      <c r="K10">
        <v>0.3</v>
      </c>
      <c r="L10" s="5"/>
      <c r="M10" s="6" t="s">
        <v>52</v>
      </c>
      <c r="N10">
        <v>117.80241518434053</v>
      </c>
      <c r="O10">
        <v>0.3</v>
      </c>
      <c r="P10" s="5"/>
    </row>
    <row r="11" spans="1:16" x14ac:dyDescent="0.25">
      <c r="A11" s="6" t="s">
        <v>53</v>
      </c>
      <c r="B11">
        <v>42.352700348600614</v>
      </c>
      <c r="C11">
        <v>0.15</v>
      </c>
      <c r="D11" s="5"/>
      <c r="E11" s="6" t="s">
        <v>53</v>
      </c>
      <c r="F11">
        <v>74.549886792046337</v>
      </c>
      <c r="G11">
        <v>0.15</v>
      </c>
      <c r="H11" s="5"/>
      <c r="I11" s="6" t="s">
        <v>53</v>
      </c>
      <c r="J11">
        <v>99.077178353388248</v>
      </c>
      <c r="K11">
        <v>0.15</v>
      </c>
      <c r="L11" s="5"/>
      <c r="M11" s="6" t="s">
        <v>53</v>
      </c>
      <c r="N11">
        <v>218.99192900197659</v>
      </c>
      <c r="O11">
        <v>0.15</v>
      </c>
      <c r="P11" s="5"/>
    </row>
    <row r="12" spans="1:16" x14ac:dyDescent="0.25">
      <c r="A12" s="7"/>
      <c r="B12" s="8">
        <f>SUM(B7:B11)</f>
        <v>500.00041820841039</v>
      </c>
      <c r="C12" s="9"/>
      <c r="D12" s="10"/>
      <c r="E12" s="7"/>
      <c r="F12" s="8">
        <f>SUM(F7:F11)</f>
        <v>800.00050000041801</v>
      </c>
      <c r="G12" s="9"/>
      <c r="H12" s="10"/>
      <c r="I12" s="7"/>
      <c r="J12" s="8">
        <f>SUM(J7:J11)</f>
        <v>1000.0008000004998</v>
      </c>
      <c r="K12" s="9"/>
      <c r="L12" s="10"/>
      <c r="M12" s="7"/>
      <c r="N12" s="8">
        <f>SUM(N7:N11)</f>
        <v>1999.9999999999816</v>
      </c>
      <c r="O12" s="9"/>
      <c r="P12" s="10"/>
    </row>
    <row r="13" spans="1:16" x14ac:dyDescent="0.25">
      <c r="A13" s="11" t="s">
        <v>55</v>
      </c>
      <c r="B13" s="12">
        <v>12.058999999999999</v>
      </c>
      <c r="C13" s="13"/>
      <c r="D13" s="13"/>
      <c r="E13" s="13"/>
      <c r="F13" s="12">
        <v>19.257000000000001</v>
      </c>
      <c r="G13" s="13"/>
      <c r="H13" s="13"/>
      <c r="I13" s="13"/>
      <c r="J13" s="12">
        <v>24.042000000000002</v>
      </c>
      <c r="K13" s="13"/>
      <c r="L13" s="13"/>
      <c r="M13" s="13"/>
      <c r="N13" s="12">
        <v>48.018000000000001</v>
      </c>
      <c r="O13" s="13"/>
      <c r="P13" s="14"/>
    </row>
    <row r="14" spans="1:16" x14ac:dyDescent="0.25">
      <c r="B14" s="1"/>
      <c r="G14" s="1"/>
      <c r="K14" s="1"/>
      <c r="O14" s="1"/>
    </row>
    <row r="15" spans="1:16" x14ac:dyDescent="0.25">
      <c r="G15" s="1">
        <v>0.05</v>
      </c>
      <c r="H15" s="1">
        <v>0.08</v>
      </c>
      <c r="I15" s="1">
        <v>0.1</v>
      </c>
      <c r="J15" s="1">
        <v>0.2</v>
      </c>
    </row>
    <row r="16" spans="1:16" x14ac:dyDescent="0.25">
      <c r="B16" t="s">
        <v>59</v>
      </c>
      <c r="C16" t="s">
        <v>60</v>
      </c>
      <c r="D16" t="s">
        <v>61</v>
      </c>
      <c r="E16" t="s">
        <v>68</v>
      </c>
      <c r="F16" t="s">
        <v>69</v>
      </c>
      <c r="G16" s="1">
        <f>B13</f>
        <v>12.058999999999999</v>
      </c>
      <c r="H16" s="1">
        <f>F13</f>
        <v>19.257000000000001</v>
      </c>
      <c r="I16" s="1">
        <f>J13</f>
        <v>24.042000000000002</v>
      </c>
      <c r="J16" s="1">
        <f>N13</f>
        <v>48.018000000000001</v>
      </c>
    </row>
    <row r="17" spans="1:10" x14ac:dyDescent="0.25">
      <c r="A17" t="s">
        <v>56</v>
      </c>
      <c r="B17">
        <v>0</v>
      </c>
      <c r="C17">
        <v>50</v>
      </c>
      <c r="F17">
        <v>6</v>
      </c>
      <c r="G17">
        <f>SUM($C17:$D17)*G$16+$B17</f>
        <v>602.94999999999993</v>
      </c>
      <c r="H17">
        <f t="shared" ref="H17:J17" si="0">SUM($C17:$D17)*H$16+$B17</f>
        <v>962.85</v>
      </c>
      <c r="I17">
        <f t="shared" si="0"/>
        <v>1202.1000000000001</v>
      </c>
      <c r="J17">
        <f t="shared" si="0"/>
        <v>2400.9</v>
      </c>
    </row>
    <row r="18" spans="1:10" x14ac:dyDescent="0.25">
      <c r="A18" t="s">
        <v>62</v>
      </c>
      <c r="B18">
        <v>500</v>
      </c>
      <c r="C18">
        <v>160</v>
      </c>
      <c r="F18">
        <v>24</v>
      </c>
      <c r="G18">
        <f t="shared" ref="G18:J22" si="1">SUM($C18:$D18)*G$16+$B18</f>
        <v>2429.4399999999996</v>
      </c>
      <c r="H18">
        <f t="shared" si="1"/>
        <v>3581.1200000000003</v>
      </c>
      <c r="I18">
        <f t="shared" si="1"/>
        <v>4346.72</v>
      </c>
      <c r="J18">
        <f t="shared" si="1"/>
        <v>8182.88</v>
      </c>
    </row>
    <row r="19" spans="1:10" x14ac:dyDescent="0.25">
      <c r="A19" t="s">
        <v>57</v>
      </c>
      <c r="B19">
        <v>500</v>
      </c>
      <c r="C19">
        <v>800</v>
      </c>
      <c r="F19">
        <v>12</v>
      </c>
      <c r="G19">
        <f t="shared" si="1"/>
        <v>10147.199999999999</v>
      </c>
      <c r="H19">
        <f t="shared" si="1"/>
        <v>15905.6</v>
      </c>
      <c r="I19">
        <f t="shared" si="1"/>
        <v>19733.600000000002</v>
      </c>
      <c r="J19">
        <f t="shared" si="1"/>
        <v>38914.400000000001</v>
      </c>
    </row>
    <row r="20" spans="1:10" x14ac:dyDescent="0.25">
      <c r="A20" t="s">
        <v>63</v>
      </c>
      <c r="B20">
        <v>500</v>
      </c>
      <c r="C20">
        <v>300</v>
      </c>
      <c r="F20">
        <v>12</v>
      </c>
      <c r="G20">
        <f t="shared" si="1"/>
        <v>4117.7</v>
      </c>
      <c r="H20">
        <f t="shared" si="1"/>
        <v>6277.1</v>
      </c>
      <c r="I20">
        <f t="shared" si="1"/>
        <v>7712.6</v>
      </c>
      <c r="J20">
        <f t="shared" si="1"/>
        <v>14905.4</v>
      </c>
    </row>
    <row r="21" spans="1:10" x14ac:dyDescent="0.25">
      <c r="A21" t="s">
        <v>65</v>
      </c>
      <c r="B21">
        <v>500</v>
      </c>
      <c r="C21">
        <v>400</v>
      </c>
      <c r="F21">
        <v>24</v>
      </c>
      <c r="G21">
        <f t="shared" si="1"/>
        <v>5323.5999999999995</v>
      </c>
      <c r="H21">
        <f t="shared" si="1"/>
        <v>8202.7999999999993</v>
      </c>
      <c r="I21">
        <f t="shared" si="1"/>
        <v>10116.800000000001</v>
      </c>
      <c r="J21">
        <f>SUM($C21:$D21)*J$16+$B21</f>
        <v>19707.2</v>
      </c>
    </row>
    <row r="22" spans="1:10" x14ac:dyDescent="0.25">
      <c r="A22" t="s">
        <v>58</v>
      </c>
      <c r="B22">
        <v>500</v>
      </c>
      <c r="C22">
        <v>600</v>
      </c>
      <c r="F22">
        <v>24</v>
      </c>
      <c r="G22">
        <f t="shared" si="1"/>
        <v>7735.4</v>
      </c>
      <c r="H22">
        <f t="shared" si="1"/>
        <v>12054.2</v>
      </c>
      <c r="I22">
        <f t="shared" si="1"/>
        <v>14925.2</v>
      </c>
      <c r="J22">
        <f t="shared" si="1"/>
        <v>29310.799999999999</v>
      </c>
    </row>
    <row r="24" spans="1:10" x14ac:dyDescent="0.25">
      <c r="A24" t="s">
        <v>67</v>
      </c>
    </row>
    <row r="25" spans="1:10" x14ac:dyDescent="0.25">
      <c r="A25" t="s">
        <v>64</v>
      </c>
    </row>
    <row r="26" spans="1:10" x14ac:dyDescent="0.25">
      <c r="A26" t="s">
        <v>66</v>
      </c>
    </row>
    <row r="28" spans="1:10" x14ac:dyDescent="0.25">
      <c r="A28" t="s">
        <v>70</v>
      </c>
    </row>
    <row r="29" spans="1:10" x14ac:dyDescent="0.25">
      <c r="A29" t="s">
        <v>56</v>
      </c>
      <c r="B29" t="s">
        <v>73</v>
      </c>
    </row>
    <row r="30" spans="1:10" x14ac:dyDescent="0.25">
      <c r="A30" t="s">
        <v>49</v>
      </c>
      <c r="B30" t="s">
        <v>74</v>
      </c>
    </row>
    <row r="31" spans="1:10" x14ac:dyDescent="0.25">
      <c r="A31" t="s">
        <v>57</v>
      </c>
      <c r="B31" t="s">
        <v>75</v>
      </c>
    </row>
    <row r="32" spans="1:10" x14ac:dyDescent="0.25">
      <c r="A32" t="s">
        <v>71</v>
      </c>
      <c r="B32" t="s">
        <v>76</v>
      </c>
    </row>
    <row r="33" spans="1:2" x14ac:dyDescent="0.25">
      <c r="A33" t="s">
        <v>72</v>
      </c>
      <c r="B33" t="s">
        <v>77</v>
      </c>
    </row>
    <row r="34" spans="1:2" x14ac:dyDescent="0.25">
      <c r="A34" t="s">
        <v>58</v>
      </c>
      <c r="B34" t="s">
        <v>78</v>
      </c>
    </row>
  </sheetData>
  <mergeCells count="4">
    <mergeCell ref="A1:D1"/>
    <mergeCell ref="E1:H1"/>
    <mergeCell ref="I1:L1"/>
    <mergeCell ref="M1:P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1BE49-4612-49AB-A857-C190E796194A}">
  <sheetPr>
    <tabColor theme="5" tint="0.39997558519241921"/>
  </sheetPr>
  <dimension ref="A1:W31"/>
  <sheetViews>
    <sheetView zoomScale="80" zoomScaleNormal="80" workbookViewId="0">
      <selection activeCell="V28" sqref="V28"/>
    </sheetView>
  </sheetViews>
  <sheetFormatPr defaultRowHeight="15" x14ac:dyDescent="0.25"/>
  <cols>
    <col min="1" max="1" width="10.7109375" customWidth="1"/>
    <col min="2" max="2" width="26.28515625" bestFit="1" customWidth="1"/>
    <col min="3" max="3" width="26.28515625" customWidth="1"/>
    <col min="4" max="4" width="10.28515625" bestFit="1" customWidth="1"/>
    <col min="5" max="5" width="10.5703125" bestFit="1" customWidth="1"/>
    <col min="6" max="6" width="9.7109375" bestFit="1" customWidth="1"/>
    <col min="7" max="7" width="10" bestFit="1" customWidth="1"/>
    <col min="8" max="8" width="10.140625" bestFit="1" customWidth="1"/>
    <col min="9" max="9" width="10.42578125" bestFit="1" customWidth="1"/>
    <col min="10" max="10" width="14.5703125" customWidth="1"/>
    <col min="11" max="11" width="22.140625" bestFit="1" customWidth="1"/>
    <col min="12" max="12" width="13.7109375" bestFit="1" customWidth="1"/>
    <col min="13" max="13" width="14" bestFit="1" customWidth="1"/>
    <col min="14" max="14" width="20.85546875" bestFit="1" customWidth="1"/>
    <col min="15" max="16" width="18.85546875" customWidth="1"/>
    <col min="17" max="17" width="25.140625" bestFit="1" customWidth="1"/>
    <col min="18" max="18" width="27.7109375" bestFit="1" customWidth="1"/>
    <col min="19" max="19" width="14" bestFit="1" customWidth="1"/>
    <col min="20" max="20" width="12.140625" bestFit="1" customWidth="1"/>
    <col min="21" max="21" width="16.5703125" bestFit="1" customWidth="1"/>
    <col min="22" max="22" width="24.85546875" bestFit="1" customWidth="1"/>
  </cols>
  <sheetData>
    <row r="1" spans="1:23" x14ac:dyDescent="0.25">
      <c r="A1" s="74" t="s">
        <v>231</v>
      </c>
      <c r="C1">
        <v>1</v>
      </c>
      <c r="D1">
        <v>2</v>
      </c>
      <c r="E1">
        <v>3</v>
      </c>
      <c r="F1">
        <v>4</v>
      </c>
      <c r="G1">
        <v>5</v>
      </c>
      <c r="H1">
        <v>6</v>
      </c>
      <c r="I1">
        <v>7</v>
      </c>
      <c r="J1">
        <v>8</v>
      </c>
      <c r="K1">
        <v>9</v>
      </c>
      <c r="L1">
        <v>10</v>
      </c>
      <c r="M1">
        <v>11</v>
      </c>
      <c r="N1">
        <v>12</v>
      </c>
      <c r="O1">
        <v>13</v>
      </c>
      <c r="P1">
        <v>14</v>
      </c>
      <c r="Q1">
        <v>15</v>
      </c>
      <c r="R1">
        <v>16</v>
      </c>
      <c r="S1">
        <v>17</v>
      </c>
      <c r="T1">
        <v>18</v>
      </c>
      <c r="U1">
        <v>19</v>
      </c>
    </row>
    <row r="2" spans="1:23" x14ac:dyDescent="0.25">
      <c r="C2" t="s">
        <v>96</v>
      </c>
      <c r="D2" t="s">
        <v>79</v>
      </c>
      <c r="E2" t="s">
        <v>80</v>
      </c>
      <c r="F2" t="s">
        <v>81</v>
      </c>
      <c r="G2" t="s">
        <v>82</v>
      </c>
      <c r="H2" t="s">
        <v>83</v>
      </c>
      <c r="I2" t="s">
        <v>84</v>
      </c>
      <c r="J2" t="s">
        <v>88</v>
      </c>
      <c r="K2" t="s">
        <v>121</v>
      </c>
      <c r="L2" t="s">
        <v>128</v>
      </c>
      <c r="M2" t="s">
        <v>129</v>
      </c>
      <c r="N2" t="s">
        <v>130</v>
      </c>
      <c r="O2" t="s">
        <v>139</v>
      </c>
      <c r="P2" t="s">
        <v>234</v>
      </c>
      <c r="Q2" t="s">
        <v>137</v>
      </c>
      <c r="R2" t="s">
        <v>146</v>
      </c>
      <c r="S2" t="s">
        <v>69</v>
      </c>
      <c r="T2" t="s">
        <v>153</v>
      </c>
      <c r="U2" t="s">
        <v>197</v>
      </c>
      <c r="W2" t="s">
        <v>246</v>
      </c>
    </row>
    <row r="3" spans="1:23" x14ac:dyDescent="0.25">
      <c r="A3" t="s">
        <v>57</v>
      </c>
      <c r="B3" t="s">
        <v>85</v>
      </c>
      <c r="C3" t="s">
        <v>98</v>
      </c>
      <c r="D3">
        <v>15</v>
      </c>
      <c r="F3">
        <v>7</v>
      </c>
      <c r="H3">
        <v>2</v>
      </c>
      <c r="K3">
        <v>5.95</v>
      </c>
      <c r="L3">
        <f t="shared" ref="L3:L16" si="0">D3*F3</f>
        <v>105</v>
      </c>
      <c r="M3">
        <f t="shared" ref="M3:M16" si="1">E3*G3</f>
        <v>0</v>
      </c>
      <c r="N3" s="15">
        <f>IF(M3=0,L3*0.09290304,M3)</f>
        <v>9.7548192</v>
      </c>
      <c r="O3" s="15">
        <f t="shared" ref="O3:O29" si="2">IF(I3=0,H3*0.3048,I3)</f>
        <v>0.60960000000000003</v>
      </c>
      <c r="P3" s="15">
        <f t="shared" ref="P3:P29" si="3">IF(IF((2*(E3+G3))=0, 2*(D3+F3)/3.2, (2*(E3+G3)))=0, J3*PI(), IF((2*(E3+G3))=0, 2*(D3+F3)/3.2, (2*(E3+G3))))</f>
        <v>13.75</v>
      </c>
      <c r="Q3">
        <v>0.6</v>
      </c>
      <c r="R3">
        <v>2</v>
      </c>
      <c r="S3">
        <v>12</v>
      </c>
      <c r="T3">
        <v>1100</v>
      </c>
      <c r="U3" s="75">
        <v>45852</v>
      </c>
      <c r="V3" t="s">
        <v>245</v>
      </c>
      <c r="W3">
        <v>1</v>
      </c>
    </row>
    <row r="4" spans="1:23" x14ac:dyDescent="0.25">
      <c r="A4" t="s">
        <v>57</v>
      </c>
      <c r="B4" t="s">
        <v>85</v>
      </c>
      <c r="C4" t="s">
        <v>99</v>
      </c>
      <c r="D4">
        <v>15</v>
      </c>
      <c r="F4">
        <v>7</v>
      </c>
      <c r="H4">
        <v>4</v>
      </c>
      <c r="K4">
        <v>11.89</v>
      </c>
      <c r="L4">
        <f t="shared" si="0"/>
        <v>105</v>
      </c>
      <c r="M4">
        <f t="shared" si="1"/>
        <v>0</v>
      </c>
      <c r="N4" s="15">
        <f t="shared" ref="N4:N29" si="4">IF(M4=0,L4*0.09290304,M4)</f>
        <v>9.7548192</v>
      </c>
      <c r="O4" s="15">
        <f t="shared" si="2"/>
        <v>1.2192000000000001</v>
      </c>
      <c r="P4" s="15">
        <f t="shared" si="3"/>
        <v>13.75</v>
      </c>
      <c r="Q4">
        <v>0.6</v>
      </c>
      <c r="R4">
        <v>2</v>
      </c>
      <c r="S4">
        <v>12</v>
      </c>
      <c r="T4">
        <v>1100</v>
      </c>
      <c r="U4" s="75">
        <v>45852</v>
      </c>
      <c r="V4" t="s">
        <v>245</v>
      </c>
      <c r="W4">
        <v>2</v>
      </c>
    </row>
    <row r="5" spans="1:23" x14ac:dyDescent="0.25">
      <c r="A5" t="s">
        <v>57</v>
      </c>
      <c r="B5" t="s">
        <v>85</v>
      </c>
      <c r="C5" t="s">
        <v>100</v>
      </c>
      <c r="D5">
        <v>15</v>
      </c>
      <c r="F5">
        <v>7</v>
      </c>
      <c r="H5">
        <v>6</v>
      </c>
      <c r="K5">
        <v>17.84</v>
      </c>
      <c r="L5">
        <f t="shared" si="0"/>
        <v>105</v>
      </c>
      <c r="M5">
        <f t="shared" si="1"/>
        <v>0</v>
      </c>
      <c r="N5" s="15">
        <f t="shared" si="4"/>
        <v>9.7548192</v>
      </c>
      <c r="O5" s="15">
        <f t="shared" si="2"/>
        <v>1.8288000000000002</v>
      </c>
      <c r="P5" s="15">
        <f t="shared" si="3"/>
        <v>13.75</v>
      </c>
      <c r="Q5">
        <v>0.6</v>
      </c>
      <c r="R5">
        <v>2</v>
      </c>
      <c r="S5">
        <v>12</v>
      </c>
      <c r="T5">
        <v>1100</v>
      </c>
      <c r="U5" s="75">
        <v>45852</v>
      </c>
      <c r="V5" t="s">
        <v>245</v>
      </c>
      <c r="W5">
        <v>3</v>
      </c>
    </row>
    <row r="6" spans="1:23" x14ac:dyDescent="0.25">
      <c r="A6" t="s">
        <v>57</v>
      </c>
      <c r="B6" t="s">
        <v>85</v>
      </c>
      <c r="C6" t="s">
        <v>101</v>
      </c>
      <c r="D6">
        <v>15</v>
      </c>
      <c r="F6">
        <v>7</v>
      </c>
      <c r="H6">
        <v>8</v>
      </c>
      <c r="K6">
        <v>23.79</v>
      </c>
      <c r="L6">
        <f t="shared" si="0"/>
        <v>105</v>
      </c>
      <c r="M6">
        <f t="shared" si="1"/>
        <v>0</v>
      </c>
      <c r="N6" s="15">
        <f t="shared" si="4"/>
        <v>9.7548192</v>
      </c>
      <c r="O6" s="15">
        <f t="shared" si="2"/>
        <v>2.4384000000000001</v>
      </c>
      <c r="P6" s="15">
        <f t="shared" si="3"/>
        <v>13.75</v>
      </c>
      <c r="Q6">
        <v>0.6</v>
      </c>
      <c r="R6">
        <v>2</v>
      </c>
      <c r="S6">
        <v>12</v>
      </c>
      <c r="T6">
        <v>1100</v>
      </c>
      <c r="U6" s="75">
        <v>45852</v>
      </c>
      <c r="V6" t="s">
        <v>245</v>
      </c>
      <c r="W6">
        <v>4</v>
      </c>
    </row>
    <row r="7" spans="1:23" x14ac:dyDescent="0.25">
      <c r="A7" t="s">
        <v>57</v>
      </c>
      <c r="B7" t="s">
        <v>86</v>
      </c>
      <c r="C7" t="s">
        <v>102</v>
      </c>
      <c r="E7">
        <v>1.2</v>
      </c>
      <c r="G7">
        <v>0.9</v>
      </c>
      <c r="I7">
        <v>2</v>
      </c>
      <c r="K7">
        <v>2.0499999999999998</v>
      </c>
      <c r="L7">
        <f t="shared" si="0"/>
        <v>0</v>
      </c>
      <c r="M7">
        <f t="shared" si="1"/>
        <v>1.08</v>
      </c>
      <c r="N7" s="15">
        <f t="shared" si="4"/>
        <v>1.08</v>
      </c>
      <c r="O7" s="15">
        <f t="shared" si="2"/>
        <v>2</v>
      </c>
      <c r="P7" s="15">
        <f t="shared" si="3"/>
        <v>4.2</v>
      </c>
      <c r="Q7">
        <v>1</v>
      </c>
      <c r="R7">
        <v>2</v>
      </c>
      <c r="S7">
        <v>12</v>
      </c>
      <c r="T7">
        <v>1100</v>
      </c>
      <c r="U7" s="75">
        <v>45852</v>
      </c>
      <c r="V7" t="s">
        <v>243</v>
      </c>
      <c r="W7">
        <v>5</v>
      </c>
    </row>
    <row r="8" spans="1:23" x14ac:dyDescent="0.25">
      <c r="A8" t="s">
        <v>57</v>
      </c>
      <c r="B8" t="s">
        <v>86</v>
      </c>
      <c r="C8" t="s">
        <v>103</v>
      </c>
      <c r="E8">
        <v>1.8</v>
      </c>
      <c r="G8">
        <v>1.2</v>
      </c>
      <c r="I8">
        <v>2</v>
      </c>
      <c r="K8">
        <v>4.1500000000000004</v>
      </c>
      <c r="L8">
        <f t="shared" si="0"/>
        <v>0</v>
      </c>
      <c r="M8">
        <f t="shared" si="1"/>
        <v>2.16</v>
      </c>
      <c r="N8" s="15">
        <f t="shared" si="4"/>
        <v>2.16</v>
      </c>
      <c r="O8" s="15">
        <f t="shared" si="2"/>
        <v>2</v>
      </c>
      <c r="P8" s="15">
        <f t="shared" si="3"/>
        <v>6</v>
      </c>
      <c r="Q8">
        <v>1</v>
      </c>
      <c r="R8">
        <v>2</v>
      </c>
      <c r="S8">
        <v>12</v>
      </c>
      <c r="T8">
        <v>1200</v>
      </c>
      <c r="U8" s="75">
        <v>45852</v>
      </c>
      <c r="V8" t="s">
        <v>243</v>
      </c>
      <c r="W8">
        <v>6</v>
      </c>
    </row>
    <row r="9" spans="1:23" x14ac:dyDescent="0.25">
      <c r="A9" t="s">
        <v>57</v>
      </c>
      <c r="B9" t="s">
        <v>86</v>
      </c>
      <c r="C9" t="s">
        <v>104</v>
      </c>
      <c r="E9">
        <v>2.4</v>
      </c>
      <c r="G9">
        <v>1.2</v>
      </c>
      <c r="I9">
        <v>2</v>
      </c>
      <c r="K9">
        <v>5.6</v>
      </c>
      <c r="L9">
        <f t="shared" si="0"/>
        <v>0</v>
      </c>
      <c r="M9">
        <f t="shared" si="1"/>
        <v>2.88</v>
      </c>
      <c r="N9" s="15">
        <f t="shared" si="4"/>
        <v>2.88</v>
      </c>
      <c r="O9" s="15">
        <f t="shared" si="2"/>
        <v>2</v>
      </c>
      <c r="P9" s="15">
        <f t="shared" si="3"/>
        <v>7.1999999999999993</v>
      </c>
      <c r="Q9">
        <v>1</v>
      </c>
      <c r="R9">
        <v>2</v>
      </c>
      <c r="S9">
        <v>12</v>
      </c>
      <c r="T9">
        <v>1300</v>
      </c>
      <c r="U9" s="75">
        <v>45852</v>
      </c>
      <c r="V9" t="s">
        <v>243</v>
      </c>
      <c r="W9">
        <v>7</v>
      </c>
    </row>
    <row r="10" spans="1:23" x14ac:dyDescent="0.25">
      <c r="A10" t="s">
        <v>57</v>
      </c>
      <c r="B10" t="s">
        <v>86</v>
      </c>
      <c r="C10" t="s">
        <v>105</v>
      </c>
      <c r="E10">
        <v>2.4</v>
      </c>
      <c r="G10">
        <v>1.8</v>
      </c>
      <c r="I10">
        <v>2</v>
      </c>
      <c r="K10">
        <v>8.35</v>
      </c>
      <c r="L10">
        <f t="shared" si="0"/>
        <v>0</v>
      </c>
      <c r="M10">
        <f t="shared" si="1"/>
        <v>4.32</v>
      </c>
      <c r="N10" s="15">
        <f t="shared" si="4"/>
        <v>4.32</v>
      </c>
      <c r="O10" s="15">
        <f t="shared" si="2"/>
        <v>2</v>
      </c>
      <c r="P10" s="15">
        <f t="shared" si="3"/>
        <v>8.4</v>
      </c>
      <c r="Q10">
        <v>1</v>
      </c>
      <c r="R10">
        <v>2</v>
      </c>
      <c r="S10">
        <v>12</v>
      </c>
      <c r="T10">
        <v>1400</v>
      </c>
      <c r="U10" s="75">
        <v>45852</v>
      </c>
      <c r="V10" t="s">
        <v>243</v>
      </c>
      <c r="W10">
        <v>8</v>
      </c>
    </row>
    <row r="11" spans="1:23" x14ac:dyDescent="0.25">
      <c r="A11" t="s">
        <v>57</v>
      </c>
      <c r="B11" t="s">
        <v>86</v>
      </c>
      <c r="C11" t="s">
        <v>106</v>
      </c>
      <c r="E11">
        <v>2.44</v>
      </c>
      <c r="G11">
        <v>2.44</v>
      </c>
      <c r="I11">
        <v>2.44</v>
      </c>
      <c r="K11">
        <v>14.3</v>
      </c>
      <c r="L11">
        <f t="shared" si="0"/>
        <v>0</v>
      </c>
      <c r="M11">
        <f t="shared" si="1"/>
        <v>5.9535999999999998</v>
      </c>
      <c r="N11" s="15">
        <f t="shared" si="4"/>
        <v>5.9535999999999998</v>
      </c>
      <c r="O11" s="15">
        <f t="shared" si="2"/>
        <v>2.44</v>
      </c>
      <c r="P11" s="15">
        <f t="shared" si="3"/>
        <v>9.76</v>
      </c>
      <c r="Q11">
        <v>1</v>
      </c>
      <c r="R11">
        <v>2</v>
      </c>
      <c r="S11">
        <v>12</v>
      </c>
      <c r="T11">
        <v>1500</v>
      </c>
      <c r="U11" s="75">
        <v>45852</v>
      </c>
      <c r="V11" t="s">
        <v>243</v>
      </c>
      <c r="W11">
        <v>9</v>
      </c>
    </row>
    <row r="12" spans="1:23" x14ac:dyDescent="0.25">
      <c r="A12" t="s">
        <v>57</v>
      </c>
      <c r="B12" t="s">
        <v>87</v>
      </c>
      <c r="C12" t="s">
        <v>97</v>
      </c>
      <c r="D12">
        <v>16</v>
      </c>
      <c r="F12">
        <v>8</v>
      </c>
      <c r="H12">
        <v>3</v>
      </c>
      <c r="K12">
        <v>10.08</v>
      </c>
      <c r="L12">
        <f t="shared" si="0"/>
        <v>128</v>
      </c>
      <c r="M12">
        <f t="shared" si="1"/>
        <v>0</v>
      </c>
      <c r="N12" s="15">
        <f t="shared" si="4"/>
        <v>11.891589120000001</v>
      </c>
      <c r="O12" s="15">
        <f t="shared" si="2"/>
        <v>0.9144000000000001</v>
      </c>
      <c r="P12" s="15">
        <f t="shared" si="3"/>
        <v>15</v>
      </c>
      <c r="Q12">
        <f>0.15+0.3+0.3</f>
        <v>0.75</v>
      </c>
      <c r="R12">
        <v>2</v>
      </c>
      <c r="S12">
        <v>12</v>
      </c>
      <c r="T12">
        <v>800</v>
      </c>
      <c r="U12" s="75">
        <v>45784</v>
      </c>
      <c r="V12" t="s">
        <v>248</v>
      </c>
      <c r="W12">
        <v>10</v>
      </c>
    </row>
    <row r="13" spans="1:23" x14ac:dyDescent="0.25">
      <c r="A13" t="s">
        <v>57</v>
      </c>
      <c r="B13" t="s">
        <v>87</v>
      </c>
      <c r="C13" t="s">
        <v>107</v>
      </c>
      <c r="D13">
        <v>16</v>
      </c>
      <c r="F13">
        <v>8</v>
      </c>
      <c r="H13">
        <v>4</v>
      </c>
      <c r="K13">
        <v>13.45</v>
      </c>
      <c r="L13">
        <f t="shared" si="0"/>
        <v>128</v>
      </c>
      <c r="M13">
        <f t="shared" si="1"/>
        <v>0</v>
      </c>
      <c r="N13" s="15">
        <f t="shared" si="4"/>
        <v>11.891589120000001</v>
      </c>
      <c r="O13" s="15">
        <f t="shared" si="2"/>
        <v>1.2192000000000001</v>
      </c>
      <c r="P13" s="15">
        <f t="shared" si="3"/>
        <v>15</v>
      </c>
      <c r="Q13">
        <f t="shared" ref="Q13:Q15" si="5">0.15+0.3+0.3</f>
        <v>0.75</v>
      </c>
      <c r="R13">
        <v>2</v>
      </c>
      <c r="S13">
        <v>12</v>
      </c>
      <c r="T13">
        <v>800</v>
      </c>
      <c r="U13" s="75">
        <v>45784</v>
      </c>
      <c r="V13" t="s">
        <v>248</v>
      </c>
      <c r="W13">
        <v>11</v>
      </c>
    </row>
    <row r="14" spans="1:23" x14ac:dyDescent="0.25">
      <c r="A14" t="s">
        <v>57</v>
      </c>
      <c r="B14" t="s">
        <v>87</v>
      </c>
      <c r="C14" t="s">
        <v>108</v>
      </c>
      <c r="D14">
        <v>16</v>
      </c>
      <c r="F14">
        <v>8</v>
      </c>
      <c r="H14">
        <v>5</v>
      </c>
      <c r="K14">
        <v>16.850000000000001</v>
      </c>
      <c r="L14">
        <f t="shared" si="0"/>
        <v>128</v>
      </c>
      <c r="M14">
        <f t="shared" si="1"/>
        <v>0</v>
      </c>
      <c r="N14" s="15">
        <f t="shared" si="4"/>
        <v>11.891589120000001</v>
      </c>
      <c r="O14" s="15">
        <f t="shared" si="2"/>
        <v>1.524</v>
      </c>
      <c r="P14" s="15">
        <f t="shared" si="3"/>
        <v>15</v>
      </c>
      <c r="Q14">
        <f t="shared" si="5"/>
        <v>0.75</v>
      </c>
      <c r="R14">
        <v>2</v>
      </c>
      <c r="S14">
        <v>12</v>
      </c>
      <c r="T14">
        <v>800</v>
      </c>
      <c r="U14" s="75">
        <v>45784</v>
      </c>
      <c r="V14" t="s">
        <v>248</v>
      </c>
      <c r="W14">
        <v>12</v>
      </c>
    </row>
    <row r="15" spans="1:23" x14ac:dyDescent="0.25">
      <c r="A15" t="s">
        <v>57</v>
      </c>
      <c r="B15" t="s">
        <v>87</v>
      </c>
      <c r="C15" t="s">
        <v>109</v>
      </c>
      <c r="D15">
        <v>16</v>
      </c>
      <c r="F15">
        <v>8</v>
      </c>
      <c r="H15">
        <v>6</v>
      </c>
      <c r="K15">
        <v>20.22</v>
      </c>
      <c r="L15">
        <f t="shared" si="0"/>
        <v>128</v>
      </c>
      <c r="M15">
        <f t="shared" si="1"/>
        <v>0</v>
      </c>
      <c r="N15" s="15">
        <f t="shared" si="4"/>
        <v>11.891589120000001</v>
      </c>
      <c r="O15" s="15">
        <f t="shared" si="2"/>
        <v>1.8288000000000002</v>
      </c>
      <c r="P15" s="15">
        <f t="shared" si="3"/>
        <v>15</v>
      </c>
      <c r="Q15">
        <f t="shared" si="5"/>
        <v>0.75</v>
      </c>
      <c r="R15">
        <v>2</v>
      </c>
      <c r="S15">
        <v>12</v>
      </c>
      <c r="T15">
        <v>800</v>
      </c>
      <c r="U15" s="75">
        <v>45784</v>
      </c>
      <c r="V15" t="s">
        <v>248</v>
      </c>
      <c r="W15">
        <v>13</v>
      </c>
    </row>
    <row r="16" spans="1:23" x14ac:dyDescent="0.25">
      <c r="A16" t="s">
        <v>71</v>
      </c>
      <c r="B16" t="s">
        <v>89</v>
      </c>
      <c r="C16" t="s">
        <v>89</v>
      </c>
      <c r="D16">
        <v>7.8333000000000004</v>
      </c>
      <c r="F16">
        <v>7.1666999999999996</v>
      </c>
      <c r="H16">
        <v>6.8917000000000002</v>
      </c>
      <c r="K16">
        <v>6.4349999999999996</v>
      </c>
      <c r="L16">
        <f t="shared" si="0"/>
        <v>56.138911110000002</v>
      </c>
      <c r="M16">
        <f t="shared" si="1"/>
        <v>0</v>
      </c>
      <c r="N16" s="15">
        <f t="shared" si="4"/>
        <v>5.2154755044087748</v>
      </c>
      <c r="O16" s="15">
        <f t="shared" si="2"/>
        <v>2.1005901600000003</v>
      </c>
      <c r="P16" s="15">
        <f t="shared" si="3"/>
        <v>9.375</v>
      </c>
      <c r="Q16">
        <v>0.75</v>
      </c>
      <c r="R16">
        <v>1</v>
      </c>
      <c r="S16">
        <v>12</v>
      </c>
      <c r="T16">
        <v>300</v>
      </c>
      <c r="U16" s="75">
        <v>45784</v>
      </c>
      <c r="V16" t="s">
        <v>248</v>
      </c>
      <c r="W16">
        <v>1</v>
      </c>
    </row>
    <row r="17" spans="1:23" x14ac:dyDescent="0.25">
      <c r="A17" t="s">
        <v>72</v>
      </c>
      <c r="B17" t="s">
        <v>90</v>
      </c>
      <c r="C17" t="s">
        <v>114</v>
      </c>
      <c r="E17">
        <v>0.751</v>
      </c>
      <c r="G17">
        <v>0.85399999999999998</v>
      </c>
      <c r="I17">
        <v>0.44500000000000001</v>
      </c>
      <c r="K17">
        <v>0.32200000000000001</v>
      </c>
      <c r="L17">
        <f t="shared" ref="L17:L26" si="6">D17*F17</f>
        <v>0</v>
      </c>
      <c r="M17">
        <f t="shared" ref="M17:M29" si="7">E17*G17</f>
        <v>0.64135399999999998</v>
      </c>
      <c r="N17" s="15">
        <f t="shared" si="4"/>
        <v>0.64135399999999998</v>
      </c>
      <c r="O17" s="15">
        <f t="shared" si="2"/>
        <v>0.44500000000000001</v>
      </c>
      <c r="P17" s="15">
        <f t="shared" si="3"/>
        <v>3.21</v>
      </c>
      <c r="Q17">
        <v>0.30399999999999999</v>
      </c>
      <c r="R17">
        <v>1</v>
      </c>
      <c r="S17">
        <v>24</v>
      </c>
      <c r="T17">
        <v>400</v>
      </c>
      <c r="U17" s="75">
        <v>45784</v>
      </c>
      <c r="V17" t="s">
        <v>248</v>
      </c>
      <c r="W17">
        <v>1</v>
      </c>
    </row>
    <row r="18" spans="1:23" x14ac:dyDescent="0.25">
      <c r="A18" t="s">
        <v>72</v>
      </c>
      <c r="B18" t="s">
        <v>90</v>
      </c>
      <c r="C18" t="s">
        <v>115</v>
      </c>
      <c r="E18">
        <v>0.751</v>
      </c>
      <c r="G18">
        <v>1.008</v>
      </c>
      <c r="I18">
        <v>0.63500000000000001</v>
      </c>
      <c r="K18">
        <v>0.49399999999999999</v>
      </c>
      <c r="L18">
        <f t="shared" si="6"/>
        <v>0</v>
      </c>
      <c r="M18">
        <f t="shared" si="7"/>
        <v>0.75700800000000001</v>
      </c>
      <c r="N18" s="15">
        <f t="shared" si="4"/>
        <v>0.75700800000000001</v>
      </c>
      <c r="O18" s="15">
        <f t="shared" si="2"/>
        <v>0.63500000000000001</v>
      </c>
      <c r="P18" s="15">
        <f t="shared" si="3"/>
        <v>3.5179999999999998</v>
      </c>
      <c r="Q18">
        <v>0.30399999999999999</v>
      </c>
      <c r="R18">
        <v>1</v>
      </c>
      <c r="S18">
        <v>24</v>
      </c>
      <c r="T18">
        <v>400</v>
      </c>
      <c r="U18" s="75">
        <v>45784</v>
      </c>
      <c r="V18" t="s">
        <v>248</v>
      </c>
      <c r="W18">
        <v>2</v>
      </c>
    </row>
    <row r="19" spans="1:23" x14ac:dyDescent="0.25">
      <c r="A19" t="s">
        <v>72</v>
      </c>
      <c r="B19" t="s">
        <v>90</v>
      </c>
      <c r="C19" t="s">
        <v>116</v>
      </c>
      <c r="E19">
        <v>0.84699999999999998</v>
      </c>
      <c r="G19">
        <v>1.569</v>
      </c>
      <c r="I19">
        <v>0.94699999999999995</v>
      </c>
      <c r="K19">
        <v>1.1910000000000001</v>
      </c>
      <c r="L19">
        <f t="shared" si="6"/>
        <v>0</v>
      </c>
      <c r="M19">
        <f t="shared" si="7"/>
        <v>1.328943</v>
      </c>
      <c r="N19" s="15">
        <f t="shared" si="4"/>
        <v>1.328943</v>
      </c>
      <c r="O19" s="15">
        <f t="shared" si="2"/>
        <v>0.94699999999999995</v>
      </c>
      <c r="P19" s="15">
        <f t="shared" si="3"/>
        <v>4.8319999999999999</v>
      </c>
      <c r="Q19">
        <v>0.30399999999999999</v>
      </c>
      <c r="R19">
        <v>1</v>
      </c>
      <c r="S19">
        <v>24</v>
      </c>
      <c r="T19">
        <v>400</v>
      </c>
      <c r="U19" s="75">
        <v>45784</v>
      </c>
      <c r="V19" t="s">
        <v>248</v>
      </c>
      <c r="W19">
        <v>3</v>
      </c>
    </row>
    <row r="20" spans="1:23" x14ac:dyDescent="0.25">
      <c r="A20" t="s">
        <v>72</v>
      </c>
      <c r="B20" t="s">
        <v>91</v>
      </c>
      <c r="C20" t="s">
        <v>113</v>
      </c>
      <c r="E20">
        <v>3.35</v>
      </c>
      <c r="G20">
        <v>0.83799999999999997</v>
      </c>
      <c r="I20">
        <v>0.47</v>
      </c>
      <c r="K20">
        <v>1.42</v>
      </c>
      <c r="L20">
        <f t="shared" si="6"/>
        <v>0</v>
      </c>
      <c r="M20">
        <f t="shared" si="7"/>
        <v>2.8073000000000001</v>
      </c>
      <c r="N20" s="15">
        <f t="shared" si="4"/>
        <v>2.8073000000000001</v>
      </c>
      <c r="O20" s="15">
        <f t="shared" si="2"/>
        <v>0.47</v>
      </c>
      <c r="P20" s="15">
        <f t="shared" si="3"/>
        <v>8.3759999999999994</v>
      </c>
      <c r="Q20">
        <v>0.30399999999999999</v>
      </c>
      <c r="R20">
        <v>1</v>
      </c>
      <c r="S20">
        <v>24</v>
      </c>
      <c r="T20">
        <v>400</v>
      </c>
      <c r="U20" s="75">
        <v>45784</v>
      </c>
      <c r="V20" t="s">
        <v>248</v>
      </c>
      <c r="W20">
        <v>4</v>
      </c>
    </row>
    <row r="21" spans="1:23" x14ac:dyDescent="0.25">
      <c r="A21" t="s">
        <v>72</v>
      </c>
      <c r="B21" t="s">
        <v>92</v>
      </c>
      <c r="C21" t="s">
        <v>110</v>
      </c>
      <c r="E21">
        <v>2.286</v>
      </c>
      <c r="G21">
        <v>1.956</v>
      </c>
      <c r="I21">
        <v>1.143</v>
      </c>
      <c r="K21">
        <v>4.96</v>
      </c>
      <c r="L21">
        <f t="shared" si="6"/>
        <v>0</v>
      </c>
      <c r="M21">
        <f t="shared" si="7"/>
        <v>4.4714159999999996</v>
      </c>
      <c r="N21" s="15">
        <f t="shared" si="4"/>
        <v>4.4714159999999996</v>
      </c>
      <c r="O21" s="15">
        <f t="shared" si="2"/>
        <v>1.143</v>
      </c>
      <c r="P21" s="15">
        <f t="shared" si="3"/>
        <v>8.484</v>
      </c>
      <c r="Q21">
        <v>0.53400000000000003</v>
      </c>
      <c r="R21">
        <v>1</v>
      </c>
      <c r="S21">
        <v>24</v>
      </c>
      <c r="T21">
        <v>450</v>
      </c>
      <c r="U21" s="75">
        <v>45852</v>
      </c>
      <c r="V21" t="s">
        <v>244</v>
      </c>
      <c r="W21">
        <v>5</v>
      </c>
    </row>
    <row r="22" spans="1:23" x14ac:dyDescent="0.25">
      <c r="A22" t="s">
        <v>72</v>
      </c>
      <c r="B22" t="s">
        <v>92</v>
      </c>
      <c r="C22" t="s">
        <v>111</v>
      </c>
      <c r="E22">
        <v>2.3010000000000002</v>
      </c>
      <c r="G22">
        <v>1.2949999999999999</v>
      </c>
      <c r="I22">
        <v>0.83799999999999997</v>
      </c>
      <c r="K22">
        <v>2.2200000000000002</v>
      </c>
      <c r="L22">
        <f t="shared" si="6"/>
        <v>0</v>
      </c>
      <c r="M22">
        <f t="shared" si="7"/>
        <v>2.9797950000000002</v>
      </c>
      <c r="N22" s="15">
        <f t="shared" si="4"/>
        <v>2.9797950000000002</v>
      </c>
      <c r="O22" s="15">
        <f t="shared" si="2"/>
        <v>0.83799999999999997</v>
      </c>
      <c r="P22" s="15">
        <f t="shared" si="3"/>
        <v>7.1920000000000002</v>
      </c>
      <c r="Q22">
        <v>0.30399999999999999</v>
      </c>
      <c r="R22">
        <v>1</v>
      </c>
      <c r="S22">
        <v>24</v>
      </c>
      <c r="T22">
        <v>560</v>
      </c>
      <c r="U22" s="75">
        <v>45852</v>
      </c>
      <c r="V22" t="s">
        <v>244</v>
      </c>
      <c r="W22">
        <v>6</v>
      </c>
    </row>
    <row r="23" spans="1:23" x14ac:dyDescent="0.25">
      <c r="A23" t="s">
        <v>72</v>
      </c>
      <c r="B23" t="s">
        <v>92</v>
      </c>
      <c r="C23" t="s">
        <v>112</v>
      </c>
      <c r="E23">
        <v>2.12</v>
      </c>
      <c r="G23">
        <v>2.54</v>
      </c>
      <c r="I23">
        <v>1.524</v>
      </c>
      <c r="K23">
        <v>7.56</v>
      </c>
      <c r="L23">
        <f t="shared" si="6"/>
        <v>0</v>
      </c>
      <c r="M23">
        <f t="shared" si="7"/>
        <v>5.3848000000000003</v>
      </c>
      <c r="N23" s="15">
        <f t="shared" si="4"/>
        <v>5.3848000000000003</v>
      </c>
      <c r="O23" s="15">
        <f t="shared" si="2"/>
        <v>1.524</v>
      </c>
      <c r="P23" s="15">
        <f t="shared" si="3"/>
        <v>9.32</v>
      </c>
      <c r="Q23">
        <v>0.38100000000000001</v>
      </c>
      <c r="R23">
        <v>1</v>
      </c>
      <c r="S23">
        <v>24</v>
      </c>
      <c r="T23">
        <v>470</v>
      </c>
      <c r="U23" s="75">
        <v>45852</v>
      </c>
      <c r="V23" t="s">
        <v>244</v>
      </c>
      <c r="W23">
        <v>7</v>
      </c>
    </row>
    <row r="24" spans="1:23" x14ac:dyDescent="0.25">
      <c r="A24" t="s">
        <v>58</v>
      </c>
      <c r="B24" t="s">
        <v>117</v>
      </c>
      <c r="C24" t="s">
        <v>118</v>
      </c>
      <c r="D24">
        <v>2.5832999999999999</v>
      </c>
      <c r="F24">
        <v>2.5832999999999999</v>
      </c>
      <c r="H24">
        <v>2.5832999999999999</v>
      </c>
      <c r="K24">
        <v>0.20499999999999999</v>
      </c>
      <c r="L24">
        <f t="shared" si="6"/>
        <v>6.6734388899999999</v>
      </c>
      <c r="M24">
        <f t="shared" si="7"/>
        <v>0</v>
      </c>
      <c r="N24" s="15">
        <f t="shared" si="4"/>
        <v>0.61998276013522569</v>
      </c>
      <c r="O24" s="15">
        <f t="shared" si="2"/>
        <v>0.78738984000000001</v>
      </c>
      <c r="P24" s="15">
        <f t="shared" si="3"/>
        <v>3.2291249999999998</v>
      </c>
      <c r="Q24">
        <v>0.6</v>
      </c>
      <c r="R24">
        <v>1</v>
      </c>
      <c r="S24">
        <v>24</v>
      </c>
      <c r="T24">
        <v>600</v>
      </c>
      <c r="U24" s="75">
        <v>45784</v>
      </c>
      <c r="V24" t="s">
        <v>248</v>
      </c>
      <c r="W24">
        <v>1</v>
      </c>
    </row>
    <row r="25" spans="1:23" x14ac:dyDescent="0.25">
      <c r="A25" t="s">
        <v>58</v>
      </c>
      <c r="B25" t="s">
        <v>119</v>
      </c>
      <c r="C25" t="s">
        <v>120</v>
      </c>
      <c r="E25">
        <v>1</v>
      </c>
      <c r="G25">
        <v>1</v>
      </c>
      <c r="I25">
        <v>0.5</v>
      </c>
      <c r="K25">
        <v>0.48</v>
      </c>
      <c r="L25">
        <f t="shared" si="6"/>
        <v>0</v>
      </c>
      <c r="M25">
        <f t="shared" si="7"/>
        <v>1</v>
      </c>
      <c r="N25" s="15">
        <f t="shared" si="4"/>
        <v>1</v>
      </c>
      <c r="O25" s="15">
        <f t="shared" si="2"/>
        <v>0.5</v>
      </c>
      <c r="P25" s="15">
        <f t="shared" si="3"/>
        <v>4</v>
      </c>
      <c r="Q25">
        <v>0.68200000000000005</v>
      </c>
      <c r="R25">
        <v>1</v>
      </c>
      <c r="S25">
        <v>24</v>
      </c>
      <c r="T25">
        <v>600</v>
      </c>
      <c r="U25" s="75">
        <v>45784</v>
      </c>
      <c r="V25" t="s">
        <v>248</v>
      </c>
      <c r="W25">
        <v>2</v>
      </c>
    </row>
    <row r="26" spans="1:23" x14ac:dyDescent="0.25">
      <c r="A26" t="s">
        <v>58</v>
      </c>
      <c r="B26" t="s">
        <v>122</v>
      </c>
      <c r="C26" t="s">
        <v>123</v>
      </c>
      <c r="E26">
        <v>1.2</v>
      </c>
      <c r="G26">
        <v>0.6</v>
      </c>
      <c r="I26">
        <v>0.91400000000000003</v>
      </c>
      <c r="K26" s="15">
        <f>E26*G26*I26*0.97</f>
        <v>0.63833759999999995</v>
      </c>
      <c r="L26">
        <f t="shared" si="6"/>
        <v>0</v>
      </c>
      <c r="M26">
        <f t="shared" si="7"/>
        <v>0.72</v>
      </c>
      <c r="N26" s="15">
        <f t="shared" si="4"/>
        <v>0.72</v>
      </c>
      <c r="O26" s="15">
        <f t="shared" si="2"/>
        <v>0.91400000000000003</v>
      </c>
      <c r="P26" s="15">
        <f t="shared" si="3"/>
        <v>3.5999999999999996</v>
      </c>
      <c r="Q26">
        <f>0.61+0.152</f>
        <v>0.76200000000000001</v>
      </c>
      <c r="R26">
        <v>1</v>
      </c>
      <c r="S26">
        <v>24</v>
      </c>
      <c r="T26">
        <v>285</v>
      </c>
      <c r="U26" s="75">
        <v>45784</v>
      </c>
      <c r="V26" t="s">
        <v>154</v>
      </c>
      <c r="W26">
        <v>3</v>
      </c>
    </row>
    <row r="27" spans="1:23" x14ac:dyDescent="0.25">
      <c r="A27" t="s">
        <v>58</v>
      </c>
      <c r="B27" t="s">
        <v>124</v>
      </c>
      <c r="C27" t="s">
        <v>125</v>
      </c>
      <c r="D27">
        <v>3</v>
      </c>
      <c r="F27">
        <v>1.5</v>
      </c>
      <c r="I27">
        <v>0.45700000000000002</v>
      </c>
      <c r="K27">
        <v>0.26</v>
      </c>
      <c r="L27">
        <v>0.42</v>
      </c>
      <c r="M27">
        <f t="shared" si="7"/>
        <v>0</v>
      </c>
      <c r="N27" s="15">
        <f t="shared" si="4"/>
        <v>3.9019276800000002E-2</v>
      </c>
      <c r="O27" s="15">
        <f t="shared" si="2"/>
        <v>0.45700000000000002</v>
      </c>
      <c r="P27" s="15">
        <f t="shared" si="3"/>
        <v>2.8125</v>
      </c>
      <c r="Q27">
        <f>0.152+0.305</f>
        <v>0.45699999999999996</v>
      </c>
      <c r="R27">
        <v>1</v>
      </c>
      <c r="S27">
        <v>24</v>
      </c>
      <c r="T27">
        <v>430</v>
      </c>
      <c r="U27" s="75">
        <v>45852</v>
      </c>
      <c r="V27" t="s">
        <v>242</v>
      </c>
      <c r="W27">
        <v>4</v>
      </c>
    </row>
    <row r="28" spans="1:23" x14ac:dyDescent="0.25">
      <c r="A28" t="s">
        <v>58</v>
      </c>
      <c r="B28" t="s">
        <v>124</v>
      </c>
      <c r="C28" t="s">
        <v>126</v>
      </c>
      <c r="D28">
        <v>3</v>
      </c>
      <c r="F28">
        <v>1.5</v>
      </c>
      <c r="I28">
        <v>0.61</v>
      </c>
      <c r="K28">
        <v>0.32</v>
      </c>
      <c r="L28">
        <v>0.42</v>
      </c>
      <c r="M28">
        <f t="shared" si="7"/>
        <v>0</v>
      </c>
      <c r="N28" s="15">
        <f t="shared" si="4"/>
        <v>3.9019276800000002E-2</v>
      </c>
      <c r="O28" s="15">
        <f t="shared" si="2"/>
        <v>0.61</v>
      </c>
      <c r="P28" s="15">
        <f t="shared" si="3"/>
        <v>2.8125</v>
      </c>
      <c r="Q28">
        <f t="shared" ref="Q28:Q29" si="8">0.152+0.305</f>
        <v>0.45699999999999996</v>
      </c>
      <c r="R28">
        <v>1</v>
      </c>
      <c r="S28">
        <v>24</v>
      </c>
      <c r="T28">
        <v>450</v>
      </c>
      <c r="U28" s="75">
        <v>45852</v>
      </c>
      <c r="V28" t="s">
        <v>242</v>
      </c>
      <c r="W28">
        <v>5</v>
      </c>
    </row>
    <row r="29" spans="1:23" x14ac:dyDescent="0.25">
      <c r="A29" t="s">
        <v>58</v>
      </c>
      <c r="B29" t="s">
        <v>124</v>
      </c>
      <c r="C29" t="s">
        <v>127</v>
      </c>
      <c r="D29">
        <v>3</v>
      </c>
      <c r="F29">
        <v>1.5</v>
      </c>
      <c r="I29">
        <v>0.76200000000000001</v>
      </c>
      <c r="K29">
        <v>0.38</v>
      </c>
      <c r="L29">
        <v>0.42</v>
      </c>
      <c r="M29">
        <f t="shared" si="7"/>
        <v>0</v>
      </c>
      <c r="N29" s="15">
        <f t="shared" si="4"/>
        <v>3.9019276800000002E-2</v>
      </c>
      <c r="O29" s="15">
        <f t="shared" si="2"/>
        <v>0.76200000000000001</v>
      </c>
      <c r="P29" s="15">
        <f t="shared" si="3"/>
        <v>2.8125</v>
      </c>
      <c r="Q29">
        <f t="shared" si="8"/>
        <v>0.45699999999999996</v>
      </c>
      <c r="R29">
        <v>1</v>
      </c>
      <c r="S29">
        <v>24</v>
      </c>
      <c r="T29">
        <v>470</v>
      </c>
      <c r="U29" s="75">
        <v>45852</v>
      </c>
      <c r="V29" t="s">
        <v>242</v>
      </c>
      <c r="W29">
        <v>6</v>
      </c>
    </row>
    <row r="31" spans="1:23" x14ac:dyDescent="0.25">
      <c r="B31" s="49"/>
    </row>
  </sheetData>
  <phoneticPr fontId="1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D4CA-0E70-4474-9796-FE444146DB5E}">
  <sheetPr>
    <tabColor theme="5" tint="0.39997558519241921"/>
  </sheetPr>
  <dimension ref="A1:E7"/>
  <sheetViews>
    <sheetView workbookViewId="0">
      <selection activeCell="E3" sqref="E3"/>
    </sheetView>
  </sheetViews>
  <sheetFormatPr defaultRowHeight="15" x14ac:dyDescent="0.25"/>
  <cols>
    <col min="1" max="1" width="9.85546875" bestFit="1" customWidth="1"/>
    <col min="2" max="2" width="15.42578125" bestFit="1" customWidth="1"/>
    <col min="3" max="3" width="29.42578125" bestFit="1" customWidth="1"/>
  </cols>
  <sheetData>
    <row r="1" spans="1:5" x14ac:dyDescent="0.25">
      <c r="A1" s="74" t="s">
        <v>231</v>
      </c>
      <c r="D1" t="s">
        <v>176</v>
      </c>
      <c r="E1" t="s">
        <v>249</v>
      </c>
    </row>
    <row r="2" spans="1:5" x14ac:dyDescent="0.25">
      <c r="A2" t="s">
        <v>157</v>
      </c>
      <c r="B2" t="s">
        <v>122</v>
      </c>
      <c r="C2" s="18" t="s">
        <v>160</v>
      </c>
      <c r="D2">
        <v>450</v>
      </c>
      <c r="E2">
        <v>1</v>
      </c>
    </row>
    <row r="3" spans="1:5" x14ac:dyDescent="0.25">
      <c r="A3" t="s">
        <v>158</v>
      </c>
      <c r="B3" t="s">
        <v>161</v>
      </c>
      <c r="C3" t="s">
        <v>190</v>
      </c>
      <c r="E3">
        <v>1</v>
      </c>
    </row>
    <row r="4" spans="1:5" x14ac:dyDescent="0.25">
      <c r="A4" t="s">
        <v>158</v>
      </c>
      <c r="B4" t="s">
        <v>162</v>
      </c>
      <c r="C4" t="s">
        <v>191</v>
      </c>
      <c r="E4">
        <v>2</v>
      </c>
    </row>
    <row r="5" spans="1:5" x14ac:dyDescent="0.25">
      <c r="A5" t="s">
        <v>156</v>
      </c>
      <c r="B5" t="s">
        <v>165</v>
      </c>
      <c r="C5" s="18" t="s">
        <v>163</v>
      </c>
      <c r="D5">
        <v>7500</v>
      </c>
      <c r="E5">
        <v>1</v>
      </c>
    </row>
    <row r="6" spans="1:5" x14ac:dyDescent="0.25">
      <c r="A6" t="s">
        <v>156</v>
      </c>
      <c r="B6" t="s">
        <v>122</v>
      </c>
      <c r="C6" s="18" t="s">
        <v>164</v>
      </c>
      <c r="D6">
        <v>2500</v>
      </c>
      <c r="E6">
        <v>2</v>
      </c>
    </row>
    <row r="7" spans="1:5" x14ac:dyDescent="0.25">
      <c r="A7" t="s">
        <v>159</v>
      </c>
      <c r="B7" t="s">
        <v>240</v>
      </c>
      <c r="C7" t="s">
        <v>241</v>
      </c>
      <c r="D7">
        <v>40</v>
      </c>
      <c r="E7">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DC551-F35B-47D1-9D0B-1C9AB7ACA91C}">
  <sheetPr>
    <tabColor theme="5" tint="0.39997558519241921"/>
  </sheetPr>
  <dimension ref="A1:E22"/>
  <sheetViews>
    <sheetView workbookViewId="0">
      <selection activeCell="M15" sqref="M15"/>
    </sheetView>
  </sheetViews>
  <sheetFormatPr defaultRowHeight="15" x14ac:dyDescent="0.25"/>
  <cols>
    <col min="1" max="1" width="30.7109375" bestFit="1" customWidth="1"/>
    <col min="2" max="2" width="39" bestFit="1" customWidth="1"/>
    <col min="3" max="3" width="32.42578125" bestFit="1" customWidth="1"/>
    <col min="4" max="4" width="16" bestFit="1" customWidth="1"/>
    <col min="5" max="5" width="11.28515625" bestFit="1" customWidth="1"/>
  </cols>
  <sheetData>
    <row r="1" spans="1:5" x14ac:dyDescent="0.25">
      <c r="A1" s="74" t="s">
        <v>231</v>
      </c>
    </row>
    <row r="2" spans="1:5" x14ac:dyDescent="0.25">
      <c r="A2" s="67" t="s">
        <v>131</v>
      </c>
      <c r="B2" t="s">
        <v>141</v>
      </c>
      <c r="C2" t="s">
        <v>144</v>
      </c>
      <c r="D2" t="s">
        <v>147</v>
      </c>
      <c r="E2" t="s">
        <v>149</v>
      </c>
    </row>
    <row r="3" spans="1:5" x14ac:dyDescent="0.25">
      <c r="A3" t="s">
        <v>57</v>
      </c>
      <c r="B3">
        <v>25</v>
      </c>
      <c r="C3">
        <v>500</v>
      </c>
      <c r="D3">
        <v>0.1</v>
      </c>
      <c r="E3">
        <v>100</v>
      </c>
    </row>
    <row r="4" spans="1:5" x14ac:dyDescent="0.25">
      <c r="A4" t="s">
        <v>71</v>
      </c>
      <c r="B4" s="17" t="s">
        <v>142</v>
      </c>
      <c r="C4" s="17" t="s">
        <v>145</v>
      </c>
      <c r="D4" t="s">
        <v>148</v>
      </c>
      <c r="E4" s="17" t="s">
        <v>150</v>
      </c>
    </row>
    <row r="5" spans="1:5" x14ac:dyDescent="0.25">
      <c r="A5" t="s">
        <v>72</v>
      </c>
      <c r="B5" s="31"/>
      <c r="C5" s="31"/>
    </row>
    <row r="6" spans="1:5" x14ac:dyDescent="0.25">
      <c r="A6" t="s">
        <v>58</v>
      </c>
    </row>
    <row r="7" spans="1:5" x14ac:dyDescent="0.25">
      <c r="A7" t="s">
        <v>56</v>
      </c>
    </row>
    <row r="8" spans="1:5" x14ac:dyDescent="0.25">
      <c r="A8" t="s">
        <v>49</v>
      </c>
    </row>
    <row r="10" spans="1:5" x14ac:dyDescent="0.25">
      <c r="A10" s="67" t="s">
        <v>155</v>
      </c>
    </row>
    <row r="11" spans="1:5" x14ac:dyDescent="0.25">
      <c r="A11" t="s">
        <v>156</v>
      </c>
    </row>
    <row r="12" spans="1:5" x14ac:dyDescent="0.25">
      <c r="A12" t="s">
        <v>157</v>
      </c>
    </row>
    <row r="13" spans="1:5" x14ac:dyDescent="0.25">
      <c r="A13" t="s">
        <v>158</v>
      </c>
    </row>
    <row r="14" spans="1:5" x14ac:dyDescent="0.25">
      <c r="A14" t="s">
        <v>159</v>
      </c>
    </row>
    <row r="16" spans="1:5" x14ac:dyDescent="0.25">
      <c r="A16" s="67" t="s">
        <v>221</v>
      </c>
      <c r="D16" t="s">
        <v>216</v>
      </c>
    </row>
    <row r="17" spans="1:4" x14ac:dyDescent="0.25">
      <c r="A17" t="s">
        <v>218</v>
      </c>
      <c r="B17">
        <f>100*3.2</f>
        <v>320</v>
      </c>
      <c r="C17">
        <f>400*3.2</f>
        <v>1280</v>
      </c>
      <c r="D17">
        <v>0</v>
      </c>
    </row>
    <row r="18" spans="1:4" x14ac:dyDescent="0.25">
      <c r="B18" t="s">
        <v>235</v>
      </c>
      <c r="C18" t="s">
        <v>236</v>
      </c>
      <c r="D18">
        <v>1</v>
      </c>
    </row>
    <row r="19" spans="1:4" x14ac:dyDescent="0.25">
      <c r="A19" t="s">
        <v>215</v>
      </c>
      <c r="B19">
        <v>1000</v>
      </c>
      <c r="D19">
        <v>2</v>
      </c>
    </row>
    <row r="20" spans="1:4" x14ac:dyDescent="0.25">
      <c r="A20" t="s">
        <v>216</v>
      </c>
      <c r="B20">
        <v>1000</v>
      </c>
      <c r="D20">
        <v>3</v>
      </c>
    </row>
    <row r="21" spans="1:4" x14ac:dyDescent="0.25">
      <c r="A21" t="s">
        <v>217</v>
      </c>
      <c r="D21">
        <v>4</v>
      </c>
    </row>
    <row r="22" spans="1:4" x14ac:dyDescent="0.25">
      <c r="A22" t="s">
        <v>228</v>
      </c>
      <c r="B22">
        <v>5</v>
      </c>
      <c r="C22" t="s">
        <v>239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DD806-F094-467B-941C-D31920E57E93}">
  <dimension ref="B2:E53"/>
  <sheetViews>
    <sheetView workbookViewId="0">
      <selection activeCell="E21" sqref="E21"/>
    </sheetView>
  </sheetViews>
  <sheetFormatPr defaultRowHeight="15" x14ac:dyDescent="0.25"/>
  <cols>
    <col min="2" max="2" width="11.140625" customWidth="1"/>
    <col min="3" max="3" width="15.28515625" bestFit="1" customWidth="1"/>
    <col min="4" max="4" width="23.140625" bestFit="1" customWidth="1"/>
    <col min="5" max="5" width="158.42578125" customWidth="1"/>
  </cols>
  <sheetData>
    <row r="2" spans="2:5" ht="23.25" x14ac:dyDescent="0.25">
      <c r="B2" s="120" t="s">
        <v>204</v>
      </c>
      <c r="C2" s="120"/>
      <c r="D2" s="120"/>
      <c r="E2" s="120"/>
    </row>
    <row r="3" spans="2:5" x14ac:dyDescent="0.25">
      <c r="B3" s="40"/>
      <c r="C3" s="41"/>
      <c r="D3" s="41"/>
      <c r="E3" s="54"/>
    </row>
    <row r="4" spans="2:5" x14ac:dyDescent="0.25">
      <c r="B4" s="155" t="s">
        <v>213</v>
      </c>
      <c r="C4" s="156"/>
      <c r="D4" s="156"/>
      <c r="E4" s="157"/>
    </row>
    <row r="5" spans="2:5" x14ac:dyDescent="0.25">
      <c r="B5" s="36"/>
      <c r="C5" s="37"/>
      <c r="D5" s="37"/>
      <c r="E5" s="46"/>
    </row>
    <row r="6" spans="2:5" x14ac:dyDescent="0.25">
      <c r="B6" s="51" t="s">
        <v>201</v>
      </c>
      <c r="C6" s="51" t="s">
        <v>205</v>
      </c>
      <c r="D6" s="51" t="s">
        <v>206</v>
      </c>
      <c r="E6" s="51" t="s">
        <v>207</v>
      </c>
    </row>
    <row r="7" spans="2:5" ht="30" x14ac:dyDescent="0.25">
      <c r="B7" s="56">
        <v>46179</v>
      </c>
      <c r="C7" s="57" t="s">
        <v>208</v>
      </c>
      <c r="D7" s="57" t="s">
        <v>23</v>
      </c>
      <c r="E7" s="60" t="s">
        <v>224</v>
      </c>
    </row>
    <row r="8" spans="2:5" x14ac:dyDescent="0.25">
      <c r="B8" s="58">
        <v>46179</v>
      </c>
      <c r="C8" s="59" t="s">
        <v>208</v>
      </c>
      <c r="D8" s="59" t="s">
        <v>209</v>
      </c>
      <c r="E8" s="60" t="s">
        <v>210</v>
      </c>
    </row>
    <row r="9" spans="2:5" ht="15" customHeight="1" x14ac:dyDescent="0.25">
      <c r="B9" s="58">
        <v>46179</v>
      </c>
      <c r="C9" s="59" t="s">
        <v>208</v>
      </c>
      <c r="D9" s="59" t="s">
        <v>147</v>
      </c>
      <c r="E9" s="60" t="s">
        <v>212</v>
      </c>
    </row>
    <row r="10" spans="2:5" x14ac:dyDescent="0.25">
      <c r="B10" s="58">
        <v>46179</v>
      </c>
      <c r="C10" s="59" t="s">
        <v>208</v>
      </c>
      <c r="D10" s="59" t="s">
        <v>23</v>
      </c>
      <c r="E10" s="60" t="s">
        <v>214</v>
      </c>
    </row>
    <row r="11" spans="2:5" x14ac:dyDescent="0.25">
      <c r="B11" s="58">
        <v>46179</v>
      </c>
      <c r="C11" s="59" t="s">
        <v>208</v>
      </c>
      <c r="D11" s="59" t="s">
        <v>23</v>
      </c>
      <c r="E11" s="60" t="s">
        <v>222</v>
      </c>
    </row>
    <row r="12" spans="2:5" x14ac:dyDescent="0.25">
      <c r="B12" s="58">
        <v>46179</v>
      </c>
      <c r="C12" s="59" t="s">
        <v>208</v>
      </c>
      <c r="D12" s="59" t="s">
        <v>23</v>
      </c>
      <c r="E12" s="60" t="s">
        <v>223</v>
      </c>
    </row>
    <row r="13" spans="2:5" ht="45" x14ac:dyDescent="0.25">
      <c r="B13" s="58">
        <v>46179</v>
      </c>
      <c r="C13" s="59" t="s">
        <v>208</v>
      </c>
      <c r="D13" s="59" t="s">
        <v>221</v>
      </c>
      <c r="E13" s="60" t="s">
        <v>229</v>
      </c>
    </row>
    <row r="14" spans="2:5" x14ac:dyDescent="0.25">
      <c r="B14" s="58"/>
      <c r="C14" s="59"/>
      <c r="D14" s="59"/>
      <c r="E14" s="60"/>
    </row>
    <row r="15" spans="2:5" x14ac:dyDescent="0.25">
      <c r="B15" s="58"/>
      <c r="C15" s="59"/>
      <c r="D15" s="59"/>
      <c r="E15" s="60"/>
    </row>
    <row r="16" spans="2:5" x14ac:dyDescent="0.25">
      <c r="B16" s="58"/>
      <c r="C16" s="59"/>
      <c r="D16" s="59"/>
      <c r="E16" s="60"/>
    </row>
    <row r="17" spans="2:5" x14ac:dyDescent="0.25">
      <c r="B17" s="58"/>
      <c r="C17" s="59"/>
      <c r="D17" s="59"/>
      <c r="E17" s="60"/>
    </row>
    <row r="18" spans="2:5" x14ac:dyDescent="0.25">
      <c r="B18" s="58"/>
      <c r="C18" s="59"/>
      <c r="D18" s="59"/>
      <c r="E18" s="60"/>
    </row>
    <row r="19" spans="2:5" x14ac:dyDescent="0.25">
      <c r="B19" s="58"/>
      <c r="C19" s="59"/>
      <c r="D19" s="59"/>
      <c r="E19" s="60"/>
    </row>
    <row r="20" spans="2:5" x14ac:dyDescent="0.25">
      <c r="B20" s="58"/>
      <c r="C20" s="59"/>
      <c r="D20" s="59"/>
      <c r="E20" s="60"/>
    </row>
    <row r="21" spans="2:5" x14ac:dyDescent="0.25">
      <c r="B21" s="58"/>
      <c r="C21" s="59"/>
      <c r="D21" s="59"/>
      <c r="E21" s="60"/>
    </row>
    <row r="22" spans="2:5" x14ac:dyDescent="0.25">
      <c r="B22" s="58"/>
      <c r="C22" s="59"/>
      <c r="D22" s="59"/>
      <c r="E22" s="60"/>
    </row>
    <row r="23" spans="2:5" x14ac:dyDescent="0.25">
      <c r="B23" s="58"/>
      <c r="C23" s="59"/>
      <c r="D23" s="59"/>
      <c r="E23" s="60"/>
    </row>
    <row r="24" spans="2:5" x14ac:dyDescent="0.25">
      <c r="B24" s="58"/>
      <c r="C24" s="59"/>
      <c r="D24" s="59"/>
      <c r="E24" s="60"/>
    </row>
    <row r="25" spans="2:5" x14ac:dyDescent="0.25">
      <c r="B25" s="58"/>
      <c r="C25" s="59"/>
      <c r="D25" s="59"/>
      <c r="E25" s="60"/>
    </row>
    <row r="26" spans="2:5" x14ac:dyDescent="0.25">
      <c r="B26" s="58"/>
      <c r="C26" s="59"/>
      <c r="D26" s="59"/>
      <c r="E26" s="60"/>
    </row>
    <row r="27" spans="2:5" x14ac:dyDescent="0.25">
      <c r="B27" s="58"/>
      <c r="C27" s="59"/>
      <c r="D27" s="59"/>
      <c r="E27" s="60"/>
    </row>
    <row r="28" spans="2:5" x14ac:dyDescent="0.25">
      <c r="B28" s="58"/>
      <c r="C28" s="59"/>
      <c r="D28" s="59"/>
      <c r="E28" s="60"/>
    </row>
    <row r="29" spans="2:5" x14ac:dyDescent="0.25">
      <c r="B29" s="58"/>
      <c r="C29" s="59"/>
      <c r="D29" s="59"/>
      <c r="E29" s="60"/>
    </row>
    <row r="30" spans="2:5" x14ac:dyDescent="0.25">
      <c r="B30" s="58"/>
      <c r="C30" s="59"/>
      <c r="D30" s="59"/>
      <c r="E30" s="60"/>
    </row>
    <row r="31" spans="2:5" x14ac:dyDescent="0.25">
      <c r="B31" s="58"/>
      <c r="C31" s="59"/>
      <c r="D31" s="59"/>
      <c r="E31" s="60"/>
    </row>
    <row r="32" spans="2:5" x14ac:dyDescent="0.25">
      <c r="B32" s="58"/>
      <c r="C32" s="59"/>
      <c r="D32" s="59"/>
      <c r="E32" s="60"/>
    </row>
    <row r="33" spans="2:5" x14ac:dyDescent="0.25">
      <c r="B33" s="58"/>
      <c r="C33" s="59"/>
      <c r="D33" s="59"/>
      <c r="E33" s="60"/>
    </row>
    <row r="34" spans="2:5" x14ac:dyDescent="0.25">
      <c r="B34" s="58"/>
      <c r="C34" s="59"/>
      <c r="D34" s="59"/>
      <c r="E34" s="60"/>
    </row>
    <row r="35" spans="2:5" x14ac:dyDescent="0.25">
      <c r="B35" s="58"/>
      <c r="C35" s="59"/>
      <c r="D35" s="59"/>
      <c r="E35" s="60"/>
    </row>
    <row r="36" spans="2:5" x14ac:dyDescent="0.25">
      <c r="B36" s="58"/>
      <c r="C36" s="59"/>
      <c r="D36" s="59"/>
      <c r="E36" s="60"/>
    </row>
    <row r="37" spans="2:5" x14ac:dyDescent="0.25">
      <c r="B37" s="58"/>
      <c r="C37" s="59"/>
      <c r="D37" s="59"/>
      <c r="E37" s="60"/>
    </row>
    <row r="38" spans="2:5" x14ac:dyDescent="0.25">
      <c r="B38" s="58"/>
      <c r="C38" s="59"/>
      <c r="D38" s="59"/>
      <c r="E38" s="60"/>
    </row>
    <row r="39" spans="2:5" x14ac:dyDescent="0.25">
      <c r="B39" s="58"/>
      <c r="C39" s="59"/>
      <c r="D39" s="59"/>
      <c r="E39" s="60"/>
    </row>
    <row r="40" spans="2:5" x14ac:dyDescent="0.25">
      <c r="B40" s="58"/>
      <c r="C40" s="59"/>
      <c r="D40" s="59"/>
      <c r="E40" s="60"/>
    </row>
    <row r="41" spans="2:5" x14ac:dyDescent="0.25">
      <c r="B41" s="58"/>
      <c r="C41" s="59"/>
      <c r="D41" s="59"/>
      <c r="E41" s="60"/>
    </row>
    <row r="42" spans="2:5" x14ac:dyDescent="0.25">
      <c r="B42" s="58"/>
      <c r="C42" s="59"/>
      <c r="D42" s="59"/>
      <c r="E42" s="60"/>
    </row>
    <row r="43" spans="2:5" x14ac:dyDescent="0.25">
      <c r="B43" s="58"/>
      <c r="C43" s="59"/>
      <c r="D43" s="59"/>
      <c r="E43" s="60"/>
    </row>
    <row r="44" spans="2:5" x14ac:dyDescent="0.25">
      <c r="B44" s="58"/>
      <c r="C44" s="59"/>
      <c r="D44" s="59"/>
      <c r="E44" s="60"/>
    </row>
    <row r="45" spans="2:5" x14ac:dyDescent="0.25">
      <c r="B45" s="58"/>
      <c r="C45" s="59"/>
      <c r="D45" s="59"/>
      <c r="E45" s="60"/>
    </row>
    <row r="46" spans="2:5" x14ac:dyDescent="0.25">
      <c r="B46" s="58"/>
      <c r="C46" s="59"/>
      <c r="D46" s="59"/>
      <c r="E46" s="60"/>
    </row>
    <row r="47" spans="2:5" x14ac:dyDescent="0.25">
      <c r="B47" s="58"/>
      <c r="C47" s="59"/>
      <c r="D47" s="59"/>
      <c r="E47" s="60"/>
    </row>
    <row r="48" spans="2:5" x14ac:dyDescent="0.25">
      <c r="B48" s="58"/>
      <c r="C48" s="59"/>
      <c r="D48" s="59"/>
      <c r="E48" s="60"/>
    </row>
    <row r="49" spans="2:5" x14ac:dyDescent="0.25">
      <c r="B49" s="58"/>
      <c r="C49" s="59"/>
      <c r="D49" s="59"/>
      <c r="E49" s="60"/>
    </row>
    <row r="50" spans="2:5" x14ac:dyDescent="0.25">
      <c r="B50" s="58"/>
      <c r="C50" s="59"/>
      <c r="D50" s="59"/>
      <c r="E50" s="60"/>
    </row>
    <row r="51" spans="2:5" x14ac:dyDescent="0.25">
      <c r="B51" s="58"/>
      <c r="C51" s="59"/>
      <c r="D51" s="59"/>
      <c r="E51" s="60"/>
    </row>
    <row r="52" spans="2:5" x14ac:dyDescent="0.25">
      <c r="B52" s="58"/>
      <c r="C52" s="59"/>
      <c r="D52" s="59"/>
      <c r="E52" s="60"/>
    </row>
    <row r="53" spans="2:5" x14ac:dyDescent="0.25">
      <c r="B53" s="58"/>
      <c r="C53" s="61"/>
      <c r="D53" s="61"/>
      <c r="E53" s="62"/>
    </row>
  </sheetData>
  <sheetProtection algorithmName="SHA-512" hashValue="5IJmW7U3qyESIrhu87i4zkexJHwsIxx24/uxZ81WASva2R9jF3U6Y6xJjBbB6ctkGk9WkmQ/M8axPV7TUoPR1w==" saltValue="5EDoDoZkK/fPuXho8xzyMA==" spinCount="100000" sheet="1" objects="1" scenarios="1"/>
  <mergeCells count="2">
    <mergeCell ref="B2:E2"/>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C01CE-AFC9-47D8-B11F-96A03B26AF7D}">
  <dimension ref="B2:D30"/>
  <sheetViews>
    <sheetView workbookViewId="0">
      <selection activeCell="H20" sqref="H20"/>
    </sheetView>
  </sheetViews>
  <sheetFormatPr defaultRowHeight="15" x14ac:dyDescent="0.25"/>
  <cols>
    <col min="2" max="2" width="37" customWidth="1"/>
    <col min="3" max="3" width="19.140625" customWidth="1"/>
    <col min="4" max="4" width="109.42578125" bestFit="1" customWidth="1"/>
  </cols>
  <sheetData>
    <row r="2" spans="2:4" ht="23.25" x14ac:dyDescent="0.35">
      <c r="B2" s="158" t="s">
        <v>198</v>
      </c>
      <c r="C2" s="158"/>
      <c r="D2" s="158"/>
    </row>
    <row r="3" spans="2:4" ht="42" customHeight="1" x14ac:dyDescent="0.25">
      <c r="B3" s="159" t="s">
        <v>199</v>
      </c>
      <c r="C3" s="160"/>
      <c r="D3" s="161"/>
    </row>
    <row r="4" spans="2:4" x14ac:dyDescent="0.25">
      <c r="B4" s="51" t="s">
        <v>200</v>
      </c>
      <c r="C4" s="51" t="s">
        <v>201</v>
      </c>
      <c r="D4" s="51" t="s">
        <v>202</v>
      </c>
    </row>
    <row r="5" spans="2:4" x14ac:dyDescent="0.25">
      <c r="B5" s="19" t="s">
        <v>203</v>
      </c>
      <c r="C5" s="52">
        <v>46178</v>
      </c>
      <c r="D5" s="19" t="s">
        <v>211</v>
      </c>
    </row>
    <row r="6" spans="2:4" x14ac:dyDescent="0.25">
      <c r="B6" s="19"/>
      <c r="C6" s="53"/>
      <c r="D6" s="19"/>
    </row>
    <row r="7" spans="2:4" x14ac:dyDescent="0.25">
      <c r="B7" s="19"/>
      <c r="C7" s="53"/>
      <c r="D7" s="19"/>
    </row>
    <row r="8" spans="2:4" x14ac:dyDescent="0.25">
      <c r="B8" s="19"/>
      <c r="C8" s="53"/>
      <c r="D8" s="19"/>
    </row>
    <row r="9" spans="2:4" x14ac:dyDescent="0.25">
      <c r="B9" s="19"/>
      <c r="C9" s="53"/>
      <c r="D9" s="19"/>
    </row>
    <row r="10" spans="2:4" x14ac:dyDescent="0.25">
      <c r="B10" s="19"/>
      <c r="C10" s="53"/>
      <c r="D10" s="19"/>
    </row>
    <row r="11" spans="2:4" x14ac:dyDescent="0.25">
      <c r="B11" s="19"/>
      <c r="C11" s="53"/>
      <c r="D11" s="19"/>
    </row>
    <row r="12" spans="2:4" x14ac:dyDescent="0.25">
      <c r="B12" s="19"/>
      <c r="C12" s="53"/>
      <c r="D12" s="19"/>
    </row>
    <row r="13" spans="2:4" x14ac:dyDescent="0.25">
      <c r="B13" s="19"/>
      <c r="C13" s="53"/>
      <c r="D13" s="19"/>
    </row>
    <row r="14" spans="2:4" x14ac:dyDescent="0.25">
      <c r="B14" s="19"/>
      <c r="C14" s="53"/>
      <c r="D14" s="19"/>
    </row>
    <row r="15" spans="2:4" x14ac:dyDescent="0.25">
      <c r="B15" s="19"/>
      <c r="C15" s="53"/>
      <c r="D15" s="19"/>
    </row>
    <row r="16" spans="2:4" x14ac:dyDescent="0.25">
      <c r="B16" s="19"/>
      <c r="C16" s="53"/>
      <c r="D16" s="19"/>
    </row>
    <row r="17" spans="2:4" x14ac:dyDescent="0.25">
      <c r="B17" s="19"/>
      <c r="C17" s="53"/>
      <c r="D17" s="19"/>
    </row>
    <row r="18" spans="2:4" x14ac:dyDescent="0.25">
      <c r="B18" s="19"/>
      <c r="C18" s="53"/>
      <c r="D18" s="19"/>
    </row>
    <row r="19" spans="2:4" x14ac:dyDescent="0.25">
      <c r="B19" s="19"/>
      <c r="C19" s="53"/>
      <c r="D19" s="19"/>
    </row>
    <row r="20" spans="2:4" x14ac:dyDescent="0.25">
      <c r="B20" s="19"/>
      <c r="C20" s="53"/>
      <c r="D20" s="19"/>
    </row>
    <row r="21" spans="2:4" x14ac:dyDescent="0.25">
      <c r="B21" s="19"/>
      <c r="C21" s="53"/>
      <c r="D21" s="19"/>
    </row>
    <row r="22" spans="2:4" x14ac:dyDescent="0.25">
      <c r="B22" s="19"/>
      <c r="C22" s="53"/>
      <c r="D22" s="19"/>
    </row>
    <row r="23" spans="2:4" x14ac:dyDescent="0.25">
      <c r="B23" s="19"/>
      <c r="C23" s="53"/>
      <c r="D23" s="19"/>
    </row>
    <row r="24" spans="2:4" x14ac:dyDescent="0.25">
      <c r="B24" s="19"/>
      <c r="C24" s="53"/>
      <c r="D24" s="19"/>
    </row>
    <row r="25" spans="2:4" x14ac:dyDescent="0.25">
      <c r="B25" s="19"/>
      <c r="C25" s="53"/>
      <c r="D25" s="19"/>
    </row>
    <row r="26" spans="2:4" x14ac:dyDescent="0.25">
      <c r="B26" s="19"/>
      <c r="C26" s="53"/>
      <c r="D26" s="19"/>
    </row>
    <row r="27" spans="2:4" x14ac:dyDescent="0.25">
      <c r="B27" s="19"/>
      <c r="C27" s="53"/>
      <c r="D27" s="19"/>
    </row>
    <row r="28" spans="2:4" x14ac:dyDescent="0.25">
      <c r="B28" s="19"/>
      <c r="C28" s="53"/>
      <c r="D28" s="19"/>
    </row>
    <row r="29" spans="2:4" x14ac:dyDescent="0.25">
      <c r="B29" s="19"/>
      <c r="C29" s="53"/>
      <c r="D29" s="19"/>
    </row>
    <row r="30" spans="2:4" x14ac:dyDescent="0.25">
      <c r="B30" s="19"/>
      <c r="C30" s="53"/>
      <c r="D30" s="19"/>
    </row>
  </sheetData>
  <sheetProtection algorithmName="SHA-512" hashValue="ION8L840/EC4fCFcNc41YhL3xJiov4u538/Wh/2FqFUqOoGxF7buRqeFuKAiZh/CaVcc5ZkCcvGOwecbeBeCOw==" saltValue="HwSHtYdlN//VUIalFnarmg==" spinCount="100000" sheet="1" objects="1" scenarios="1"/>
  <mergeCells count="2">
    <mergeCell ref="B2:D2"/>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User Input</vt:lpstr>
      <vt:lpstr>Cost Breakdown</vt:lpstr>
      <vt:lpstr>Cost Estimate</vt:lpstr>
      <vt:lpstr>Planning</vt:lpstr>
      <vt:lpstr>Site Planning</vt:lpstr>
      <vt:lpstr>Storages Background Info</vt:lpstr>
      <vt:lpstr>Flow Control Background Info</vt:lpstr>
      <vt:lpstr>Constants</vt:lpstr>
      <vt:lpstr>Assumptions</vt:lpstr>
      <vt:lpstr>Version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Kennedy Hampson</dc:creator>
  <cp:lastModifiedBy>Kennedy Hampson</cp:lastModifiedBy>
  <dcterms:created xsi:type="dcterms:W3CDTF">2015-06-05T18:17:20Z</dcterms:created>
  <dcterms:modified xsi:type="dcterms:W3CDTF">2026-09-03T20:37:59Z</dcterms:modified>
</cp:coreProperties>
</file>